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T:\ED1 RRPs\RRP 2019 20\RFPR\FOR RESUBMISSION 12102020\FOR WEBSITE\"/>
    </mc:Choice>
  </mc:AlternateContent>
  <bookViews>
    <workbookView xWindow="0" yWindow="0" windowWidth="30720" windowHeight="13236"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log'!$A$1:$D$60</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4" i="2" l="1"/>
  <c r="B105" i="5" l="1"/>
  <c r="H20" i="20" l="1"/>
  <c r="G20" i="20"/>
  <c r="F20" i="20"/>
  <c r="E20" i="20"/>
  <c r="D20" i="20"/>
  <c r="K19" i="20" l="1"/>
  <c r="K20" i="20" s="1"/>
  <c r="J19" i="20"/>
  <c r="J20" i="20" s="1"/>
  <c r="I19" i="20"/>
  <c r="I20" i="20" s="1"/>
  <c r="D24" i="10" l="1"/>
  <c r="D28" i="10"/>
  <c r="E28" i="10"/>
  <c r="D18" i="10"/>
  <c r="B21" i="1" l="1"/>
  <c r="B3" i="1" l="1"/>
  <c r="K21" i="20" l="1"/>
  <c r="J21" i="20"/>
  <c r="I21" i="20"/>
  <c r="H21" i="20"/>
  <c r="G21" i="20"/>
  <c r="F21" i="20"/>
  <c r="E21" i="20"/>
  <c r="D21" i="20"/>
  <c r="K14" i="20"/>
  <c r="K16" i="20" s="1"/>
  <c r="J14" i="20"/>
  <c r="J16" i="20" s="1"/>
  <c r="I14" i="20"/>
  <c r="I16" i="20" s="1"/>
  <c r="H14" i="20"/>
  <c r="H16" i="20" s="1"/>
  <c r="G14" i="20"/>
  <c r="G16" i="20" s="1"/>
  <c r="F14" i="20"/>
  <c r="F16" i="20" s="1"/>
  <c r="E14" i="20"/>
  <c r="E16" i="20" s="1"/>
  <c r="D14" i="20"/>
  <c r="D16" i="20" s="1"/>
  <c r="A3" i="20"/>
  <c r="A2" i="20"/>
  <c r="D36" i="19"/>
  <c r="D35" i="19"/>
  <c r="K19" i="19"/>
  <c r="J19" i="19"/>
  <c r="I19" i="19"/>
  <c r="H19" i="19"/>
  <c r="G19" i="19"/>
  <c r="F19" i="19"/>
  <c r="E19" i="19"/>
  <c r="D19" i="19"/>
  <c r="A3" i="19"/>
  <c r="A2" i="19"/>
  <c r="K13" i="11"/>
  <c r="J13" i="11"/>
  <c r="I13" i="11"/>
  <c r="G13" i="11"/>
  <c r="F13" i="11"/>
  <c r="E13" i="11"/>
  <c r="D13" i="11"/>
  <c r="B3" i="11"/>
  <c r="A3" i="11"/>
  <c r="A2" i="11"/>
  <c r="K63" i="29"/>
  <c r="J63" i="29"/>
  <c r="I63" i="29"/>
  <c r="H63" i="29"/>
  <c r="G63" i="29"/>
  <c r="F63" i="29"/>
  <c r="E63" i="29"/>
  <c r="D63" i="29"/>
  <c r="K19" i="29"/>
  <c r="J19" i="29"/>
  <c r="I19" i="29"/>
  <c r="H19" i="29"/>
  <c r="G19" i="29"/>
  <c r="F19" i="29"/>
  <c r="E19" i="29"/>
  <c r="D19" i="29"/>
  <c r="A3" i="29"/>
  <c r="A2" i="29"/>
  <c r="K28" i="10"/>
  <c r="J28" i="10"/>
  <c r="I28" i="10"/>
  <c r="H28" i="10"/>
  <c r="G28" i="10"/>
  <c r="F28" i="10"/>
  <c r="A3" i="10"/>
  <c r="A2" i="10"/>
  <c r="B3" i="27"/>
  <c r="A3" i="27"/>
  <c r="A2" i="27"/>
  <c r="L6" i="17"/>
  <c r="B3" i="17"/>
  <c r="A3" i="17"/>
  <c r="A2" i="17"/>
  <c r="K17" i="3"/>
  <c r="K18" i="4" s="1"/>
  <c r="J17" i="3"/>
  <c r="J18" i="4" s="1"/>
  <c r="I17" i="3"/>
  <c r="I18" i="4" s="1"/>
  <c r="H17" i="3"/>
  <c r="H18" i="4" s="1"/>
  <c r="G17" i="3"/>
  <c r="F17" i="3"/>
  <c r="E17" i="3"/>
  <c r="E18" i="4" s="1"/>
  <c r="D17" i="3"/>
  <c r="H12" i="3"/>
  <c r="H17" i="4" s="1"/>
  <c r="G12" i="3"/>
  <c r="F12" i="3"/>
  <c r="E12" i="3"/>
  <c r="E17" i="4" s="1"/>
  <c r="D12" i="3"/>
  <c r="B3" i="3"/>
  <c r="A3" i="3"/>
  <c r="A2" i="3"/>
  <c r="A111" i="5"/>
  <c r="A110" i="5"/>
  <c r="A109" i="5"/>
  <c r="A108" i="5"/>
  <c r="A107" i="5"/>
  <c r="A106" i="5"/>
  <c r="A105" i="5"/>
  <c r="G102" i="5"/>
  <c r="G15" i="4" s="1"/>
  <c r="F102" i="5"/>
  <c r="E102" i="5"/>
  <c r="D102" i="5"/>
  <c r="D15" i="4" s="1"/>
  <c r="A100" i="5"/>
  <c r="A97" i="5"/>
  <c r="A94" i="5"/>
  <c r="A91" i="5"/>
  <c r="A88" i="5"/>
  <c r="A85" i="5"/>
  <c r="A82" i="5"/>
  <c r="K73" i="5"/>
  <c r="J73" i="5"/>
  <c r="I73" i="5"/>
  <c r="H73" i="5"/>
  <c r="G73" i="5"/>
  <c r="F73" i="5"/>
  <c r="E73" i="5"/>
  <c r="D73" i="5"/>
  <c r="K69" i="5"/>
  <c r="J69" i="5"/>
  <c r="I69" i="5"/>
  <c r="H69" i="5"/>
  <c r="G69" i="5"/>
  <c r="F69" i="5"/>
  <c r="E69" i="5"/>
  <c r="D69" i="5"/>
  <c r="A69" i="5"/>
  <c r="K65" i="5"/>
  <c r="J65" i="5"/>
  <c r="I65" i="5"/>
  <c r="H65" i="5"/>
  <c r="G65" i="5"/>
  <c r="F65" i="5"/>
  <c r="E65" i="5"/>
  <c r="D65" i="5"/>
  <c r="A65" i="5"/>
  <c r="K61" i="5"/>
  <c r="J61" i="5"/>
  <c r="I61" i="5"/>
  <c r="H61" i="5"/>
  <c r="G61" i="5"/>
  <c r="F61" i="5"/>
  <c r="E61" i="5"/>
  <c r="D61" i="5"/>
  <c r="A61" i="5"/>
  <c r="K57" i="5"/>
  <c r="J57" i="5"/>
  <c r="I57" i="5"/>
  <c r="H57" i="5"/>
  <c r="G57" i="5"/>
  <c r="F57" i="5"/>
  <c r="E57" i="5"/>
  <c r="D57" i="5"/>
  <c r="A57" i="5"/>
  <c r="G53" i="5"/>
  <c r="F53" i="5"/>
  <c r="E53" i="5"/>
  <c r="D53" i="5"/>
  <c r="A53" i="5"/>
  <c r="K49" i="5"/>
  <c r="J49" i="5"/>
  <c r="I49" i="5"/>
  <c r="H49" i="5"/>
  <c r="G49" i="5"/>
  <c r="F49" i="5"/>
  <c r="E49" i="5"/>
  <c r="D49" i="5"/>
  <c r="A49" i="5"/>
  <c r="A45" i="5"/>
  <c r="A44" i="5"/>
  <c r="A43" i="5"/>
  <c r="A42" i="5"/>
  <c r="A41" i="5"/>
  <c r="A40" i="5"/>
  <c r="A39" i="5"/>
  <c r="A25" i="5"/>
  <c r="A24" i="5"/>
  <c r="A23" i="5"/>
  <c r="A22" i="5"/>
  <c r="A21" i="5"/>
  <c r="G18" i="5"/>
  <c r="F18" i="5"/>
  <c r="E18" i="5"/>
  <c r="D18" i="5"/>
  <c r="M17" i="5"/>
  <c r="M16" i="5"/>
  <c r="M15" i="5"/>
  <c r="M14" i="5"/>
  <c r="M13" i="5"/>
  <c r="M11"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s="1"/>
  <c r="J44" i="2"/>
  <c r="I44" i="2"/>
  <c r="I58" i="2" s="1"/>
  <c r="H44" i="2"/>
  <c r="H58" i="2" s="1"/>
  <c r="G44" i="2"/>
  <c r="F44" i="2"/>
  <c r="F46" i="2" s="1"/>
  <c r="E44" i="2"/>
  <c r="E58" i="2" s="1"/>
  <c r="D44" i="2"/>
  <c r="M42" i="2"/>
  <c r="K42" i="2"/>
  <c r="J42" i="2"/>
  <c r="I42" i="2"/>
  <c r="H42" i="2"/>
  <c r="G42" i="2"/>
  <c r="F42" i="2"/>
  <c r="E42" i="2"/>
  <c r="D42" i="2"/>
  <c r="M41" i="2"/>
  <c r="M40" i="2"/>
  <c r="K28" i="2"/>
  <c r="J28" i="2"/>
  <c r="G28" i="2"/>
  <c r="F28" i="2"/>
  <c r="E28" i="2"/>
  <c r="D28" i="2"/>
  <c r="M27" i="2"/>
  <c r="M26" i="2"/>
  <c r="M25" i="2"/>
  <c r="M23" i="2"/>
  <c r="M22" i="2"/>
  <c r="K16" i="2"/>
  <c r="J16" i="2"/>
  <c r="I16" i="2"/>
  <c r="H16" i="2"/>
  <c r="G16" i="2"/>
  <c r="F16" i="2"/>
  <c r="E16" i="2"/>
  <c r="D16" i="2"/>
  <c r="K14" i="2"/>
  <c r="J14" i="2"/>
  <c r="I14" i="2"/>
  <c r="H14" i="2"/>
  <c r="G14" i="2"/>
  <c r="F14" i="2"/>
  <c r="E14" i="2"/>
  <c r="D14" i="2"/>
  <c r="M13" i="2"/>
  <c r="M12" i="2"/>
  <c r="L6" i="2"/>
  <c r="A3" i="2"/>
  <c r="A2" i="2"/>
  <c r="K80" i="15"/>
  <c r="J80" i="15"/>
  <c r="I80" i="15"/>
  <c r="K78" i="15"/>
  <c r="J78" i="15"/>
  <c r="I78" i="15"/>
  <c r="G78" i="15"/>
  <c r="D78" i="15"/>
  <c r="K48" i="15"/>
  <c r="J48" i="15"/>
  <c r="I48" i="15"/>
  <c r="K46" i="15"/>
  <c r="J46" i="15"/>
  <c r="I46" i="15"/>
  <c r="G46" i="15"/>
  <c r="D46" i="15"/>
  <c r="K23" i="15"/>
  <c r="J23" i="15"/>
  <c r="I23" i="15"/>
  <c r="K18" i="15"/>
  <c r="J18" i="15"/>
  <c r="I18" i="15"/>
  <c r="G18" i="15"/>
  <c r="G23" i="15" s="1"/>
  <c r="F18" i="15"/>
  <c r="F23" i="15" s="1"/>
  <c r="E18" i="15"/>
  <c r="E23" i="15" s="1"/>
  <c r="D18" i="15"/>
  <c r="D23" i="15" s="1"/>
  <c r="A3" i="15"/>
  <c r="A2" i="15"/>
  <c r="K68" i="4"/>
  <c r="J68" i="4"/>
  <c r="I68" i="4"/>
  <c r="K66" i="4"/>
  <c r="J66" i="4"/>
  <c r="I66" i="4"/>
  <c r="K64" i="4"/>
  <c r="J64" i="4"/>
  <c r="I64" i="4"/>
  <c r="G64" i="4"/>
  <c r="F64" i="4"/>
  <c r="E64" i="4"/>
  <c r="D64" i="4"/>
  <c r="K45" i="4"/>
  <c r="J45" i="4"/>
  <c r="I45" i="4"/>
  <c r="H45" i="4"/>
  <c r="G45" i="4"/>
  <c r="G66" i="4" s="1"/>
  <c r="G68" i="4" s="1"/>
  <c r="F45" i="4"/>
  <c r="F66" i="4" s="1"/>
  <c r="F68" i="4" s="1"/>
  <c r="E45" i="4"/>
  <c r="E66" i="4" s="1"/>
  <c r="E68" i="4" s="1"/>
  <c r="D45" i="4"/>
  <c r="K28" i="4"/>
  <c r="J28" i="4"/>
  <c r="I28" i="4"/>
  <c r="G18" i="4"/>
  <c r="F18" i="4"/>
  <c r="D18" i="4"/>
  <c r="G17" i="4"/>
  <c r="F17" i="4"/>
  <c r="D17" i="4"/>
  <c r="F15" i="4"/>
  <c r="E15" i="4"/>
  <c r="K14" i="4"/>
  <c r="J14" i="4"/>
  <c r="I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B202" i="28"/>
  <c r="E192" i="28"/>
  <c r="B192" i="28"/>
  <c r="E182" i="28"/>
  <c r="B182" i="28"/>
  <c r="F159" i="28"/>
  <c r="F158" i="28"/>
  <c r="F157"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T84"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3" i="28"/>
  <c r="I43" i="28"/>
  <c r="H43" i="28"/>
  <c r="J42" i="28"/>
  <c r="I42" i="28"/>
  <c r="H42" i="28"/>
  <c r="G42" i="28"/>
  <c r="F42" i="28"/>
  <c r="E42" i="28"/>
  <c r="J38" i="28"/>
  <c r="I38" i="28"/>
  <c r="H38" i="28"/>
  <c r="G38" i="28"/>
  <c r="F38" i="28"/>
  <c r="E38" i="28"/>
  <c r="D30" i="28"/>
  <c r="D29" i="28"/>
  <c r="D28" i="28"/>
  <c r="D27" i="28"/>
  <c r="D26" i="28"/>
  <c r="D25" i="28"/>
  <c r="F25" i="28"/>
  <c r="D24" i="28"/>
  <c r="D23" i="28"/>
  <c r="D22" i="28"/>
  <c r="D21" i="28"/>
  <c r="D20" i="28"/>
  <c r="D19" i="28"/>
  <c r="D18" i="28"/>
  <c r="D17" i="28"/>
  <c r="D16" i="28"/>
  <c r="D15" i="28"/>
  <c r="D14" i="28"/>
  <c r="A3" i="28"/>
  <c r="A2" i="28"/>
  <c r="C14" i="13"/>
  <c r="C42" i="2" s="1"/>
  <c r="C13" i="13"/>
  <c r="D6" i="15" s="1"/>
  <c r="C12" i="13"/>
  <c r="C11" i="13"/>
  <c r="C10" i="13"/>
  <c r="C6" i="13"/>
  <c r="E156" i="28" s="1"/>
  <c r="A3" i="13"/>
  <c r="A2" i="13"/>
  <c r="D26" i="4" l="1"/>
  <c r="D28" i="4" s="1"/>
  <c r="D66" i="4"/>
  <c r="D68" i="4" s="1"/>
  <c r="K31" i="2"/>
  <c r="G26" i="4"/>
  <c r="G28" i="4" s="1"/>
  <c r="M61" i="5"/>
  <c r="F26" i="4"/>
  <c r="F28" i="4" s="1"/>
  <c r="E26" i="4"/>
  <c r="E28" i="4" s="1"/>
  <c r="E31" i="2"/>
  <c r="M65" i="5"/>
  <c r="M69" i="5"/>
  <c r="M73" i="5"/>
  <c r="M49" i="5"/>
  <c r="M57" i="5"/>
  <c r="M14" i="2"/>
  <c r="D19" i="2"/>
  <c r="F31" i="2"/>
  <c r="G19" i="2"/>
  <c r="J18" i="2"/>
  <c r="G48" i="15"/>
  <c r="D48" i="15"/>
  <c r="D80" i="15" s="1"/>
  <c r="I59" i="2"/>
  <c r="K46" i="2"/>
  <c r="G18" i="2"/>
  <c r="K18" i="2"/>
  <c r="G30" i="2"/>
  <c r="F47" i="2"/>
  <c r="G31" i="2"/>
  <c r="E46" i="2"/>
  <c r="E62" i="2" s="1"/>
  <c r="I46" i="2"/>
  <c r="I62" i="2" s="1"/>
  <c r="E59" i="2"/>
  <c r="E6" i="15"/>
  <c r="D5" i="15"/>
  <c r="E154" i="28"/>
  <c r="E159" i="28"/>
  <c r="C51" i="1"/>
  <c r="C55" i="1"/>
  <c r="C61" i="1"/>
  <c r="C11" i="4"/>
  <c r="J47" i="29"/>
  <c r="F47" i="29"/>
  <c r="J42" i="10"/>
  <c r="F42" i="10"/>
  <c r="I47" i="29"/>
  <c r="E47" i="29"/>
  <c r="I42" i="10"/>
  <c r="E42" i="10"/>
  <c r="H47" i="29"/>
  <c r="D47" i="29"/>
  <c r="H42" i="10"/>
  <c r="D42" i="10"/>
  <c r="K42" i="10"/>
  <c r="K47" i="29"/>
  <c r="G42" i="10"/>
  <c r="G47" i="29"/>
  <c r="C33" i="28"/>
  <c r="C50" i="1"/>
  <c r="C54" i="1"/>
  <c r="C66" i="1"/>
  <c r="E157" i="28"/>
  <c r="E153" i="28"/>
  <c r="D6" i="20"/>
  <c r="D6" i="19"/>
  <c r="D6" i="3"/>
  <c r="D6" i="10"/>
  <c r="D5" i="10" s="1"/>
  <c r="D6" i="27"/>
  <c r="D6" i="11"/>
  <c r="D6" i="29"/>
  <c r="D5" i="29" s="1"/>
  <c r="D6" i="17"/>
  <c r="E6" i="17" s="1"/>
  <c r="D6" i="4"/>
  <c r="D6" i="1"/>
  <c r="D6" i="2"/>
  <c r="D6" i="5"/>
  <c r="B48" i="28"/>
  <c r="B10" i="2" s="1"/>
  <c r="B88" i="2" s="1"/>
  <c r="B149" i="28"/>
  <c r="E158" i="28"/>
  <c r="C48" i="1"/>
  <c r="C53" i="1"/>
  <c r="C12" i="2"/>
  <c r="F58" i="2"/>
  <c r="F62" i="2" s="1"/>
  <c r="F59" i="2"/>
  <c r="J58" i="2"/>
  <c r="J59" i="2"/>
  <c r="J47" i="2"/>
  <c r="J46" i="2"/>
  <c r="J41" i="10"/>
  <c r="F41" i="10"/>
  <c r="I41" i="10"/>
  <c r="E41" i="10"/>
  <c r="H41" i="10"/>
  <c r="D41" i="10"/>
  <c r="G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s="1"/>
  <c r="B116" i="2" s="1"/>
  <c r="E152" i="28"/>
  <c r="B153" i="28" s="1"/>
  <c r="E155" i="28"/>
  <c r="C52" i="1"/>
  <c r="C57" i="1"/>
  <c r="D30" i="2"/>
  <c r="D31" i="2"/>
  <c r="D18" i="2"/>
  <c r="H18" i="2"/>
  <c r="C18" i="2"/>
  <c r="H19" i="2"/>
  <c r="C27" i="2"/>
  <c r="E19" i="2"/>
  <c r="I19" i="2"/>
  <c r="G58" i="2"/>
  <c r="G59" i="2"/>
  <c r="K58" i="2"/>
  <c r="K59" i="2"/>
  <c r="K63" i="2" s="1"/>
  <c r="G46" i="2"/>
  <c r="G47" i="2"/>
  <c r="E18" i="2"/>
  <c r="I18" i="2"/>
  <c r="F19" i="2"/>
  <c r="J19" i="2"/>
  <c r="E30" i="2"/>
  <c r="J30" i="2"/>
  <c r="J31" i="2"/>
  <c r="D59" i="2"/>
  <c r="D46" i="2"/>
  <c r="H59" i="2"/>
  <c r="H46" i="2"/>
  <c r="H62" i="2" s="1"/>
  <c r="H47" i="2"/>
  <c r="F18" i="2"/>
  <c r="K19" i="2"/>
  <c r="F30" i="2"/>
  <c r="K30" i="2"/>
  <c r="D47" i="2"/>
  <c r="D58" i="2"/>
  <c r="E47" i="2"/>
  <c r="I47" i="2"/>
  <c r="I63" i="2" s="1"/>
  <c r="E25" i="28"/>
  <c r="F26" i="28"/>
  <c r="K35" i="2" l="1"/>
  <c r="K49" i="1" s="1"/>
  <c r="E35" i="2"/>
  <c r="F35" i="2"/>
  <c r="G35" i="2"/>
  <c r="J34" i="2"/>
  <c r="D50" i="15"/>
  <c r="G80" i="15"/>
  <c r="G63" i="2"/>
  <c r="G62" i="2"/>
  <c r="K62" i="2"/>
  <c r="G34" i="2"/>
  <c r="K34" i="2"/>
  <c r="I64" i="2"/>
  <c r="J35" i="2"/>
  <c r="F63" i="2"/>
  <c r="M58" i="2"/>
  <c r="M59" i="2"/>
  <c r="E63" i="2"/>
  <c r="E64" i="2" s="1"/>
  <c r="D78" i="2"/>
  <c r="E6" i="2"/>
  <c r="D5" i="2"/>
  <c r="D77" i="2"/>
  <c r="E6" i="27"/>
  <c r="D5" i="27"/>
  <c r="D5" i="20"/>
  <c r="E6" i="20"/>
  <c r="F6" i="15"/>
  <c r="E5" i="15"/>
  <c r="F34" i="2"/>
  <c r="D5" i="1"/>
  <c r="E6" i="1"/>
  <c r="E6" i="29"/>
  <c r="E5" i="29" s="1"/>
  <c r="D22" i="29"/>
  <c r="E6" i="10"/>
  <c r="E5" i="10" s="1"/>
  <c r="D40" i="10"/>
  <c r="D43" i="10" s="1"/>
  <c r="D36" i="10"/>
  <c r="D63" i="2"/>
  <c r="M47" i="2"/>
  <c r="G64" i="2"/>
  <c r="D34" i="2"/>
  <c r="M18" i="2"/>
  <c r="H63" i="2"/>
  <c r="D62" i="2"/>
  <c r="M46" i="2"/>
  <c r="E34" i="2"/>
  <c r="B159" i="28"/>
  <c r="B17" i="5" s="1"/>
  <c r="B160" i="28"/>
  <c r="B156" i="28"/>
  <c r="B14" i="5" s="1"/>
  <c r="B157" i="28"/>
  <c r="B15" i="5" s="1"/>
  <c r="B154" i="28"/>
  <c r="B12" i="5" s="1"/>
  <c r="B155" i="28"/>
  <c r="B13" i="5" s="1"/>
  <c r="B158" i="28"/>
  <c r="B16" i="5" s="1"/>
  <c r="B11" i="5"/>
  <c r="J62" i="2"/>
  <c r="D5" i="4"/>
  <c r="E6" i="4"/>
  <c r="D5" i="3"/>
  <c r="E6" i="3"/>
  <c r="M19" i="2"/>
  <c r="J63" i="2"/>
  <c r="D99" i="5"/>
  <c r="D93" i="5"/>
  <c r="D87" i="5"/>
  <c r="D81" i="5"/>
  <c r="D96" i="5"/>
  <c r="D90" i="5"/>
  <c r="D84" i="5"/>
  <c r="D66" i="5"/>
  <c r="D67" i="5" s="1"/>
  <c r="D50" i="5"/>
  <c r="D51" i="5" s="1"/>
  <c r="D70" i="5"/>
  <c r="D71" i="5" s="1"/>
  <c r="D58" i="5"/>
  <c r="D59" i="5" s="1"/>
  <c r="D74" i="5"/>
  <c r="D75" i="5" s="1"/>
  <c r="D62" i="5"/>
  <c r="D63" i="5" s="1"/>
  <c r="D5" i="5"/>
  <c r="E6" i="5"/>
  <c r="D54" i="5"/>
  <c r="D55" i="5" s="1"/>
  <c r="D5" i="17"/>
  <c r="E6" i="11"/>
  <c r="D5" i="11"/>
  <c r="D5" i="19"/>
  <c r="E6" i="19"/>
  <c r="D33" i="28"/>
  <c r="C36" i="28"/>
  <c r="C35" i="28"/>
  <c r="D34" i="10" s="1"/>
  <c r="C34" i="28"/>
  <c r="C32" i="28"/>
  <c r="D35" i="2"/>
  <c r="E26" i="28"/>
  <c r="F27" i="28"/>
  <c r="E5" i="17"/>
  <c r="F6" i="17"/>
  <c r="K36" i="2" l="1"/>
  <c r="K70" i="2"/>
  <c r="F70" i="2"/>
  <c r="G70" i="2"/>
  <c r="G49" i="1"/>
  <c r="G36" i="2"/>
  <c r="J36" i="2"/>
  <c r="K69" i="2"/>
  <c r="K71" i="2" s="1"/>
  <c r="G69" i="2"/>
  <c r="K64" i="2"/>
  <c r="J70" i="2"/>
  <c r="F64" i="2"/>
  <c r="F49" i="1"/>
  <c r="E49" i="1"/>
  <c r="J64" i="2"/>
  <c r="E70" i="2"/>
  <c r="D79" i="2"/>
  <c r="D50" i="1" s="1"/>
  <c r="D70" i="2"/>
  <c r="D49" i="1"/>
  <c r="D42" i="5"/>
  <c r="D41" i="5"/>
  <c r="B49" i="5"/>
  <c r="B82" i="5"/>
  <c r="B39" i="5"/>
  <c r="B51" i="1" s="1"/>
  <c r="B94" i="5"/>
  <c r="B65" i="5"/>
  <c r="B43" i="5"/>
  <c r="B55" i="1" s="1"/>
  <c r="M63" i="2"/>
  <c r="E78" i="2"/>
  <c r="E77" i="2"/>
  <c r="E5" i="2"/>
  <c r="F6" i="2"/>
  <c r="E33" i="28"/>
  <c r="D36" i="28"/>
  <c r="D35" i="28"/>
  <c r="E34" i="10" s="1"/>
  <c r="D34" i="28"/>
  <c r="H88" i="5" s="1"/>
  <c r="D32" i="28"/>
  <c r="F6" i="11"/>
  <c r="E5" i="11"/>
  <c r="F6" i="4"/>
  <c r="E5" i="4"/>
  <c r="B97" i="5"/>
  <c r="B44" i="5"/>
  <c r="B69" i="5"/>
  <c r="B91" i="5"/>
  <c r="B61" i="5"/>
  <c r="B42" i="5"/>
  <c r="B54" i="1" s="1"/>
  <c r="M62" i="2"/>
  <c r="D64" i="2"/>
  <c r="D69" i="2"/>
  <c r="D36" i="2"/>
  <c r="F6" i="29"/>
  <c r="F5" i="29" s="1"/>
  <c r="E22" i="29"/>
  <c r="H64" i="2"/>
  <c r="J69" i="2"/>
  <c r="D35" i="10"/>
  <c r="D40" i="29"/>
  <c r="D8" i="20"/>
  <c r="D57" i="1" s="1"/>
  <c r="D14" i="19"/>
  <c r="D86" i="2"/>
  <c r="D90" i="2" s="1"/>
  <c r="D28" i="3"/>
  <c r="D56" i="1" s="1"/>
  <c r="F6" i="19"/>
  <c r="E5" i="19"/>
  <c r="D40" i="5"/>
  <c r="E96" i="5"/>
  <c r="E90" i="5"/>
  <c r="E84" i="5"/>
  <c r="E99" i="5"/>
  <c r="E70" i="5"/>
  <c r="E71" i="5" s="1"/>
  <c r="E44" i="5" s="1"/>
  <c r="E54" i="5"/>
  <c r="E55" i="5" s="1"/>
  <c r="E40" i="5" s="1"/>
  <c r="E52" i="1" s="1"/>
  <c r="F6" i="5"/>
  <c r="E81" i="5"/>
  <c r="E87" i="5"/>
  <c r="E74" i="5"/>
  <c r="E75" i="5" s="1"/>
  <c r="E45" i="5" s="1"/>
  <c r="E62" i="5"/>
  <c r="E63" i="5" s="1"/>
  <c r="E42" i="5" s="1"/>
  <c r="E54" i="1" s="1"/>
  <c r="E93" i="5"/>
  <c r="E66" i="5"/>
  <c r="E67" i="5" s="1"/>
  <c r="E43" i="5" s="1"/>
  <c r="E55" i="1" s="1"/>
  <c r="E50" i="5"/>
  <c r="E51" i="5" s="1"/>
  <c r="E39" i="5" s="1"/>
  <c r="E5" i="5"/>
  <c r="E58" i="5"/>
  <c r="E59" i="5" s="1"/>
  <c r="E41" i="5" s="1"/>
  <c r="E53" i="1" s="1"/>
  <c r="D43" i="5"/>
  <c r="B57" i="5"/>
  <c r="B88" i="5"/>
  <c r="B41" i="5"/>
  <c r="B53" i="1" s="1"/>
  <c r="E40" i="10"/>
  <c r="E43" i="10" s="1"/>
  <c r="F6" i="10"/>
  <c r="F5" i="10" s="1"/>
  <c r="F6" i="1"/>
  <c r="E5" i="1"/>
  <c r="G6" i="15"/>
  <c r="F5" i="15"/>
  <c r="E5" i="27"/>
  <c r="F6" i="27"/>
  <c r="J49" i="1"/>
  <c r="D45" i="5"/>
  <c r="D44" i="5"/>
  <c r="D39" i="5"/>
  <c r="F6" i="3"/>
  <c r="E5" i="3"/>
  <c r="B85" i="5"/>
  <c r="B40" i="5"/>
  <c r="B52" i="1" s="1"/>
  <c r="B53" i="5"/>
  <c r="B100" i="5"/>
  <c r="B73" i="5"/>
  <c r="B45" i="5"/>
  <c r="E36" i="2"/>
  <c r="E69" i="2"/>
  <c r="F69" i="2"/>
  <c r="F36" i="2"/>
  <c r="F6" i="20"/>
  <c r="E5" i="20"/>
  <c r="E27" i="28"/>
  <c r="G6" i="17"/>
  <c r="F5" i="17"/>
  <c r="F71" i="2" l="1"/>
  <c r="G71" i="2"/>
  <c r="J71" i="2"/>
  <c r="E71" i="2"/>
  <c r="B33" i="1"/>
  <c r="B14" i="1"/>
  <c r="D46" i="5"/>
  <c r="D51" i="1"/>
  <c r="G6" i="19"/>
  <c r="F5" i="19"/>
  <c r="G6" i="4"/>
  <c r="F5" i="4"/>
  <c r="E8" i="20"/>
  <c r="E57" i="1" s="1"/>
  <c r="E35" i="10"/>
  <c r="E14" i="19"/>
  <c r="E40" i="29"/>
  <c r="E86" i="2"/>
  <c r="E28" i="3"/>
  <c r="E56" i="1" s="1"/>
  <c r="E79" i="2"/>
  <c r="B36" i="1"/>
  <c r="B17" i="1"/>
  <c r="D53" i="1"/>
  <c r="D55" i="1"/>
  <c r="D52" i="1"/>
  <c r="B35" i="1"/>
  <c r="B16" i="1"/>
  <c r="F77" i="2"/>
  <c r="G6" i="2"/>
  <c r="F78" i="2"/>
  <c r="F5" i="2"/>
  <c r="G6" i="20"/>
  <c r="F5" i="20"/>
  <c r="G5" i="15"/>
  <c r="H6" i="15"/>
  <c r="G6" i="1"/>
  <c r="F5" i="1"/>
  <c r="B34" i="1"/>
  <c r="B15" i="1"/>
  <c r="F96" i="5"/>
  <c r="F90" i="5"/>
  <c r="F84" i="5"/>
  <c r="F99" i="5"/>
  <c r="F93" i="5"/>
  <c r="F87" i="5"/>
  <c r="F81" i="5"/>
  <c r="F58" i="5"/>
  <c r="F59" i="5" s="1"/>
  <c r="F41" i="5" s="1"/>
  <c r="F53" i="1" s="1"/>
  <c r="F5" i="5"/>
  <c r="F74" i="5"/>
  <c r="F75" i="5" s="1"/>
  <c r="F66" i="5"/>
  <c r="F67" i="5" s="1"/>
  <c r="F43" i="5" s="1"/>
  <c r="F55" i="1" s="1"/>
  <c r="F70" i="5"/>
  <c r="F71" i="5" s="1"/>
  <c r="F54" i="5"/>
  <c r="F55" i="5" s="1"/>
  <c r="F40" i="5" s="1"/>
  <c r="F52" i="1" s="1"/>
  <c r="G6" i="5"/>
  <c r="F62" i="5"/>
  <c r="F63" i="5" s="1"/>
  <c r="F42" i="5" s="1"/>
  <c r="F54" i="1" s="1"/>
  <c r="F50" i="5"/>
  <c r="F51" i="5" s="1"/>
  <c r="D119" i="2"/>
  <c r="D131" i="2"/>
  <c r="D100" i="2"/>
  <c r="D130" i="2"/>
  <c r="D132" i="2"/>
  <c r="D103" i="2"/>
  <c r="D91" i="2"/>
  <c r="D118" i="2"/>
  <c r="D104" i="2"/>
  <c r="D128" i="2"/>
  <c r="D133" i="2"/>
  <c r="D102" i="2"/>
  <c r="D101" i="2"/>
  <c r="D105" i="2"/>
  <c r="D129" i="2"/>
  <c r="D23" i="29"/>
  <c r="D71" i="2"/>
  <c r="F5" i="11"/>
  <c r="G6" i="11"/>
  <c r="G6" i="3"/>
  <c r="F5" i="3"/>
  <c r="G6" i="27"/>
  <c r="F5" i="27"/>
  <c r="G6" i="10"/>
  <c r="G5" i="10" s="1"/>
  <c r="F40" i="10"/>
  <c r="F43" i="10" s="1"/>
  <c r="E46" i="5"/>
  <c r="E51" i="1"/>
  <c r="G6" i="29"/>
  <c r="G5" i="29" s="1"/>
  <c r="F22" i="29"/>
  <c r="M64" i="2"/>
  <c r="E36" i="28"/>
  <c r="E35" i="28"/>
  <c r="F34" i="10" s="1"/>
  <c r="E34" i="28"/>
  <c r="E32" i="28"/>
  <c r="F33" i="28"/>
  <c r="B32" i="1"/>
  <c r="B13" i="1"/>
  <c r="D54" i="1"/>
  <c r="G5" i="17"/>
  <c r="H6" i="17"/>
  <c r="H5" i="17" s="1"/>
  <c r="I88" i="5" l="1"/>
  <c r="H82" i="5"/>
  <c r="H91" i="5"/>
  <c r="E23" i="29"/>
  <c r="F14" i="19"/>
  <c r="F35" i="10"/>
  <c r="F8" i="20"/>
  <c r="F57" i="1" s="1"/>
  <c r="F86" i="2"/>
  <c r="F28" i="3"/>
  <c r="F56" i="1" s="1"/>
  <c r="F40" i="29"/>
  <c r="H6" i="3"/>
  <c r="G5" i="3"/>
  <c r="D120" i="2"/>
  <c r="I6" i="15"/>
  <c r="H5" i="15"/>
  <c r="H6" i="19"/>
  <c r="G5" i="19"/>
  <c r="D92" i="2"/>
  <c r="D106" i="2"/>
  <c r="G99" i="5"/>
  <c r="G93" i="5"/>
  <c r="G87" i="5"/>
  <c r="G81" i="5"/>
  <c r="G74" i="5"/>
  <c r="G75" i="5" s="1"/>
  <c r="G45" i="5" s="1"/>
  <c r="G62" i="5"/>
  <c r="G63" i="5" s="1"/>
  <c r="G42" i="5" s="1"/>
  <c r="G54" i="1" s="1"/>
  <c r="G84" i="5"/>
  <c r="G90" i="5"/>
  <c r="G70" i="5"/>
  <c r="G71" i="5" s="1"/>
  <c r="G44" i="5" s="1"/>
  <c r="G96" i="5"/>
  <c r="G58" i="5"/>
  <c r="G59" i="5" s="1"/>
  <c r="G41" i="5" s="1"/>
  <c r="G53" i="1" s="1"/>
  <c r="G66" i="5"/>
  <c r="G67" i="5" s="1"/>
  <c r="G43" i="5" s="1"/>
  <c r="G55" i="1" s="1"/>
  <c r="H6" i="5"/>
  <c r="G50" i="5"/>
  <c r="G51" i="5" s="1"/>
  <c r="G39" i="5" s="1"/>
  <c r="G54" i="5"/>
  <c r="G55" i="5" s="1"/>
  <c r="G5" i="5"/>
  <c r="F45" i="5"/>
  <c r="G50" i="15"/>
  <c r="F79" i="2"/>
  <c r="F50" i="1" s="1"/>
  <c r="H6" i="4"/>
  <c r="G5" i="4"/>
  <c r="G33" i="28"/>
  <c r="F36" i="28"/>
  <c r="F35" i="28"/>
  <c r="G34" i="10" s="1"/>
  <c r="F34" i="28"/>
  <c r="H94" i="5" s="1"/>
  <c r="F32" i="28"/>
  <c r="G22" i="29"/>
  <c r="H6" i="29"/>
  <c r="H5" i="29" s="1"/>
  <c r="H6" i="27"/>
  <c r="G5" i="27"/>
  <c r="H6" i="11"/>
  <c r="G5" i="11"/>
  <c r="D134" i="2"/>
  <c r="H6" i="20"/>
  <c r="G5" i="20"/>
  <c r="G77" i="2"/>
  <c r="G78" i="2"/>
  <c r="H6" i="2"/>
  <c r="G5" i="2"/>
  <c r="E102" i="2"/>
  <c r="E119" i="2"/>
  <c r="E105" i="2"/>
  <c r="E90" i="2"/>
  <c r="E101" i="2"/>
  <c r="E128" i="2"/>
  <c r="E131" i="2"/>
  <c r="E100" i="2"/>
  <c r="E130" i="2"/>
  <c r="E132" i="2"/>
  <c r="E103" i="2"/>
  <c r="E91" i="2"/>
  <c r="E118" i="2"/>
  <c r="E104" i="2"/>
  <c r="E133" i="2"/>
  <c r="E129" i="2"/>
  <c r="H6" i="10"/>
  <c r="H5" i="10" s="1"/>
  <c r="H32" i="10" s="1"/>
  <c r="G40" i="10"/>
  <c r="G43" i="10" s="1"/>
  <c r="D81" i="15"/>
  <c r="D82" i="15"/>
  <c r="F39" i="5"/>
  <c r="F44" i="5"/>
  <c r="H6" i="1"/>
  <c r="G5" i="1"/>
  <c r="E50" i="1"/>
  <c r="I6" i="17"/>
  <c r="I82" i="5" l="1"/>
  <c r="J88" i="5"/>
  <c r="I91" i="5"/>
  <c r="E92" i="2"/>
  <c r="E96" i="2" s="1"/>
  <c r="E120" i="2"/>
  <c r="E125" i="2" s="1"/>
  <c r="G79" i="2"/>
  <c r="G50" i="1" s="1"/>
  <c r="F46" i="5"/>
  <c r="F51" i="1"/>
  <c r="H5" i="1"/>
  <c r="I6" i="1"/>
  <c r="I6" i="10"/>
  <c r="I5" i="10" s="1"/>
  <c r="H40" i="10"/>
  <c r="H43" i="10" s="1"/>
  <c r="E106" i="2"/>
  <c r="E81" i="15"/>
  <c r="G14" i="19"/>
  <c r="G28" i="3"/>
  <c r="G56" i="1" s="1"/>
  <c r="G86" i="2"/>
  <c r="G35" i="10"/>
  <c r="G8" i="20"/>
  <c r="G57" i="1" s="1"/>
  <c r="G40" i="29"/>
  <c r="H5" i="4"/>
  <c r="I6" i="4"/>
  <c r="D109" i="2"/>
  <c r="D108" i="2"/>
  <c r="J6" i="15"/>
  <c r="I5" i="15"/>
  <c r="I6" i="27"/>
  <c r="H5" i="27"/>
  <c r="G40" i="5"/>
  <c r="G46" i="5" s="1"/>
  <c r="D97" i="2"/>
  <c r="D96" i="2"/>
  <c r="H5" i="3"/>
  <c r="I6" i="3"/>
  <c r="H5" i="19"/>
  <c r="I6" i="19"/>
  <c r="F103" i="2"/>
  <c r="F128" i="2"/>
  <c r="F133" i="2"/>
  <c r="F102" i="2"/>
  <c r="F129" i="2"/>
  <c r="F119" i="2"/>
  <c r="F101" i="2"/>
  <c r="F118" i="2"/>
  <c r="F105" i="2"/>
  <c r="F90" i="2"/>
  <c r="F100" i="2"/>
  <c r="F130" i="2"/>
  <c r="F132" i="2"/>
  <c r="F131" i="2"/>
  <c r="F91" i="2"/>
  <c r="F104" i="2"/>
  <c r="E134" i="2"/>
  <c r="D136" i="2"/>
  <c r="D137" i="2"/>
  <c r="I6" i="11"/>
  <c r="H5" i="11"/>
  <c r="I6" i="29"/>
  <c r="I5" i="29" s="1"/>
  <c r="G51" i="1"/>
  <c r="F23" i="29"/>
  <c r="H78" i="2"/>
  <c r="I6" i="2"/>
  <c r="H77" i="2"/>
  <c r="H5" i="2"/>
  <c r="H5" i="20"/>
  <c r="I6" i="20"/>
  <c r="H33" i="28"/>
  <c r="G32" i="28"/>
  <c r="G35" i="28"/>
  <c r="H34" i="10" s="1"/>
  <c r="G34" i="28"/>
  <c r="G36" i="28"/>
  <c r="H99" i="5"/>
  <c r="H93" i="5"/>
  <c r="H87" i="5"/>
  <c r="H81" i="5"/>
  <c r="H96" i="5"/>
  <c r="H90" i="5"/>
  <c r="H84" i="5"/>
  <c r="H66" i="5"/>
  <c r="H67" i="5" s="1"/>
  <c r="H43" i="5" s="1"/>
  <c r="H55" i="1" s="1"/>
  <c r="H50" i="5"/>
  <c r="H51" i="5" s="1"/>
  <c r="H39" i="5" s="1"/>
  <c r="H70" i="5"/>
  <c r="H71" i="5" s="1"/>
  <c r="H58" i="5"/>
  <c r="H59" i="5" s="1"/>
  <c r="H74" i="5"/>
  <c r="H75" i="5" s="1"/>
  <c r="H62" i="5"/>
  <c r="H63" i="5" s="1"/>
  <c r="H42" i="5" s="1"/>
  <c r="H54" i="5"/>
  <c r="H5" i="5"/>
  <c r="I6" i="5"/>
  <c r="D125" i="2"/>
  <c r="D124" i="2"/>
  <c r="J6" i="17"/>
  <c r="I5" i="17"/>
  <c r="H102" i="5" l="1"/>
  <c r="H78" i="15"/>
  <c r="I94" i="5"/>
  <c r="J82" i="5"/>
  <c r="J91" i="5"/>
  <c r="K88" i="5"/>
  <c r="E97" i="2"/>
  <c r="E124" i="2"/>
  <c r="G23" i="29"/>
  <c r="D140" i="2"/>
  <c r="D141" i="2"/>
  <c r="F92" i="2"/>
  <c r="F97" i="2" s="1"/>
  <c r="D112" i="2"/>
  <c r="F106" i="2"/>
  <c r="F109" i="2" s="1"/>
  <c r="D113" i="2"/>
  <c r="I33" i="28"/>
  <c r="H32" i="28"/>
  <c r="H35" i="28"/>
  <c r="I34" i="10" s="1"/>
  <c r="H36" i="28"/>
  <c r="H34" i="28"/>
  <c r="H79" i="2"/>
  <c r="F81" i="15"/>
  <c r="F120" i="2"/>
  <c r="F134" i="2"/>
  <c r="J6" i="19"/>
  <c r="I5" i="19"/>
  <c r="G52" i="1"/>
  <c r="G133" i="2"/>
  <c r="G102" i="2"/>
  <c r="G129" i="2"/>
  <c r="G91" i="2"/>
  <c r="G90" i="2"/>
  <c r="G100" i="2"/>
  <c r="G104" i="2"/>
  <c r="G105" i="2"/>
  <c r="G101" i="2"/>
  <c r="G128" i="2"/>
  <c r="G130" i="2"/>
  <c r="G132" i="2"/>
  <c r="G131" i="2"/>
  <c r="G119" i="2"/>
  <c r="G118" i="2"/>
  <c r="G103" i="2"/>
  <c r="E109" i="2"/>
  <c r="E108" i="2"/>
  <c r="E112" i="2" s="1"/>
  <c r="H44" i="5"/>
  <c r="H54" i="1"/>
  <c r="H51" i="1"/>
  <c r="H8" i="20"/>
  <c r="H57" i="1" s="1"/>
  <c r="H14" i="19"/>
  <c r="H35" i="10"/>
  <c r="H40" i="29"/>
  <c r="H23" i="29" s="1"/>
  <c r="H86" i="2"/>
  <c r="J6" i="20"/>
  <c r="I5" i="20"/>
  <c r="I32" i="10"/>
  <c r="J6" i="10"/>
  <c r="J5" i="10" s="1"/>
  <c r="I40" i="10"/>
  <c r="I43" i="10" s="1"/>
  <c r="J6" i="1"/>
  <c r="I5" i="1"/>
  <c r="I96" i="5"/>
  <c r="I90" i="5"/>
  <c r="I84" i="5"/>
  <c r="I81" i="5"/>
  <c r="I70" i="5"/>
  <c r="I71" i="5" s="1"/>
  <c r="I44" i="5" s="1"/>
  <c r="I54" i="5"/>
  <c r="J6" i="5"/>
  <c r="L16" i="5" s="1"/>
  <c r="I87" i="5"/>
  <c r="I93" i="5"/>
  <c r="I74" i="5"/>
  <c r="I75" i="5" s="1"/>
  <c r="I45" i="5" s="1"/>
  <c r="I62" i="5"/>
  <c r="I63" i="5" s="1"/>
  <c r="I42" i="5" s="1"/>
  <c r="I54" i="1" s="1"/>
  <c r="I99" i="5"/>
  <c r="I66" i="5"/>
  <c r="I67" i="5" s="1"/>
  <c r="I43" i="5" s="1"/>
  <c r="I55" i="1" s="1"/>
  <c r="I50" i="5"/>
  <c r="I51" i="5" s="1"/>
  <c r="I39" i="5" s="1"/>
  <c r="I58" i="5"/>
  <c r="I59" i="5" s="1"/>
  <c r="I41" i="5" s="1"/>
  <c r="I53" i="1" s="1"/>
  <c r="I5" i="5"/>
  <c r="H45" i="5"/>
  <c r="J6" i="11"/>
  <c r="I5" i="11"/>
  <c r="I5" i="27"/>
  <c r="J6" i="27"/>
  <c r="I50" i="15"/>
  <c r="H41" i="5"/>
  <c r="I78" i="2"/>
  <c r="I77" i="2"/>
  <c r="I5" i="2"/>
  <c r="J6" i="2"/>
  <c r="J6" i="29"/>
  <c r="J5" i="29" s="1"/>
  <c r="E137" i="2"/>
  <c r="E141" i="2" s="1"/>
  <c r="E136" i="2"/>
  <c r="J6" i="3"/>
  <c r="I5" i="3"/>
  <c r="K6" i="15"/>
  <c r="K5" i="15" s="1"/>
  <c r="J5" i="15"/>
  <c r="J6" i="4"/>
  <c r="I5" i="4"/>
  <c r="K6" i="17"/>
  <c r="J5" i="17"/>
  <c r="H28" i="3" l="1"/>
  <c r="H56" i="1" s="1"/>
  <c r="E140" i="2"/>
  <c r="H15" i="4"/>
  <c r="H22" i="29"/>
  <c r="H35" i="29" s="1"/>
  <c r="K11" i="3"/>
  <c r="K12" i="3" s="1"/>
  <c r="K17" i="4" s="1"/>
  <c r="D147" i="2"/>
  <c r="J11" i="3"/>
  <c r="J12" i="3" s="1"/>
  <c r="J17" i="4" s="1"/>
  <c r="I11" i="3"/>
  <c r="I12" i="3" s="1"/>
  <c r="I17" i="4" s="1"/>
  <c r="K82" i="5"/>
  <c r="I85" i="5"/>
  <c r="I102" i="5" s="1"/>
  <c r="J94" i="5"/>
  <c r="K91" i="5"/>
  <c r="E113" i="2"/>
  <c r="E148" i="2" s="1"/>
  <c r="D142" i="2"/>
  <c r="F96" i="2"/>
  <c r="D148" i="2"/>
  <c r="L56" i="2"/>
  <c r="L59" i="2"/>
  <c r="L55" i="2"/>
  <c r="L65" i="5"/>
  <c r="E142" i="2"/>
  <c r="G92" i="2"/>
  <c r="G97" i="2" s="1"/>
  <c r="F113" i="2"/>
  <c r="L52" i="2"/>
  <c r="L40" i="2"/>
  <c r="L13" i="5"/>
  <c r="F108" i="2"/>
  <c r="L17" i="5"/>
  <c r="L15" i="5"/>
  <c r="D114" i="2"/>
  <c r="L62" i="2"/>
  <c r="L54" i="2"/>
  <c r="L61" i="5"/>
  <c r="L69" i="5"/>
  <c r="L11" i="5"/>
  <c r="J50" i="15"/>
  <c r="K6" i="3"/>
  <c r="K5" i="3" s="1"/>
  <c r="J5" i="3"/>
  <c r="H53" i="1"/>
  <c r="I51" i="1"/>
  <c r="L64" i="2"/>
  <c r="G81" i="15"/>
  <c r="G82" i="15"/>
  <c r="K6" i="19"/>
  <c r="K5" i="19" s="1"/>
  <c r="J5" i="19"/>
  <c r="H50" i="1"/>
  <c r="I14" i="19"/>
  <c r="I40" i="29"/>
  <c r="I86" i="2"/>
  <c r="I35" i="10"/>
  <c r="I8" i="20"/>
  <c r="I57" i="1" s="1"/>
  <c r="I32" i="28"/>
  <c r="J33" i="28"/>
  <c r="I35" i="28"/>
  <c r="J34" i="10" s="1"/>
  <c r="I36" i="28"/>
  <c r="I34" i="28"/>
  <c r="J40" i="10"/>
  <c r="J43" i="10" s="1"/>
  <c r="K6" i="10"/>
  <c r="J32" i="10"/>
  <c r="K6" i="20"/>
  <c r="K5" i="20" s="1"/>
  <c r="J5" i="20"/>
  <c r="F136" i="2"/>
  <c r="F137" i="2"/>
  <c r="L50" i="2"/>
  <c r="L23" i="2"/>
  <c r="K6" i="29"/>
  <c r="K5" i="29" s="1"/>
  <c r="I79" i="2"/>
  <c r="H101" i="2"/>
  <c r="H130" i="2"/>
  <c r="H132" i="2"/>
  <c r="H131" i="2"/>
  <c r="H100" i="2"/>
  <c r="H118" i="2"/>
  <c r="H104" i="2"/>
  <c r="H103" i="2"/>
  <c r="H91" i="2"/>
  <c r="H129" i="2"/>
  <c r="H128" i="2"/>
  <c r="H105" i="2"/>
  <c r="H90" i="2"/>
  <c r="H119" i="2"/>
  <c r="H133" i="2"/>
  <c r="F125" i="2"/>
  <c r="F124" i="2"/>
  <c r="K82" i="15"/>
  <c r="K50" i="15"/>
  <c r="K5" i="17"/>
  <c r="K6" i="4"/>
  <c r="K5" i="4" s="1"/>
  <c r="J5" i="4"/>
  <c r="J77" i="2"/>
  <c r="J78" i="2"/>
  <c r="K6" i="2"/>
  <c r="J5" i="2"/>
  <c r="L18" i="2"/>
  <c r="L19" i="2"/>
  <c r="L47" i="2"/>
  <c r="L13" i="2"/>
  <c r="L12" i="2"/>
  <c r="L51" i="2"/>
  <c r="L63" i="2"/>
  <c r="L22" i="2"/>
  <c r="L58" i="2"/>
  <c r="L27" i="2"/>
  <c r="K6" i="27"/>
  <c r="J5" i="27"/>
  <c r="J5" i="11"/>
  <c r="K6" i="11"/>
  <c r="K5" i="11" s="1"/>
  <c r="J96" i="5"/>
  <c r="J90" i="5"/>
  <c r="J84" i="5"/>
  <c r="J99" i="5"/>
  <c r="J93" i="5"/>
  <c r="J87" i="5"/>
  <c r="J81" i="5"/>
  <c r="J58" i="5"/>
  <c r="J59" i="5" s="1"/>
  <c r="J5" i="5"/>
  <c r="J74" i="5"/>
  <c r="J75" i="5" s="1"/>
  <c r="J66" i="5"/>
  <c r="J67" i="5" s="1"/>
  <c r="J43" i="5" s="1"/>
  <c r="J70" i="5"/>
  <c r="J71" i="5" s="1"/>
  <c r="J54" i="5"/>
  <c r="J50" i="5"/>
  <c r="J51" i="5" s="1"/>
  <c r="J39" i="5" s="1"/>
  <c r="J62" i="5"/>
  <c r="J63" i="5" s="1"/>
  <c r="J42" i="5" s="1"/>
  <c r="K6" i="5"/>
  <c r="L39" i="5"/>
  <c r="L73" i="5"/>
  <c r="L14" i="5"/>
  <c r="L57" i="5"/>
  <c r="K6" i="1"/>
  <c r="J5" i="1"/>
  <c r="E147" i="2"/>
  <c r="L41" i="2"/>
  <c r="L46" i="2"/>
  <c r="G120" i="2"/>
  <c r="G134" i="2"/>
  <c r="G106" i="2"/>
  <c r="L26" i="2"/>
  <c r="L53" i="2"/>
  <c r="H26" i="4" l="1"/>
  <c r="H28" i="4"/>
  <c r="I28" i="3"/>
  <c r="I56" i="1" s="1"/>
  <c r="D149" i="2"/>
  <c r="K94" i="5"/>
  <c r="K5" i="10"/>
  <c r="K40" i="10"/>
  <c r="K43" i="10" s="1"/>
  <c r="I15" i="4"/>
  <c r="I26" i="4" s="1"/>
  <c r="I22" i="29"/>
  <c r="F112" i="2"/>
  <c r="F114" i="2" s="1"/>
  <c r="E114" i="2"/>
  <c r="L51" i="5"/>
  <c r="L63" i="5"/>
  <c r="G96" i="2"/>
  <c r="L42" i="2"/>
  <c r="J79" i="2"/>
  <c r="J50" i="1" s="1"/>
  <c r="L67" i="5"/>
  <c r="K99" i="5"/>
  <c r="K93" i="5"/>
  <c r="K87" i="5"/>
  <c r="K81" i="5"/>
  <c r="K84" i="5"/>
  <c r="K74" i="5"/>
  <c r="K75" i="5" s="1"/>
  <c r="K45" i="5" s="1"/>
  <c r="K62" i="5"/>
  <c r="K63" i="5" s="1"/>
  <c r="K90" i="5"/>
  <c r="K96" i="5"/>
  <c r="K70" i="5"/>
  <c r="K71" i="5" s="1"/>
  <c r="K54" i="5"/>
  <c r="K58" i="5"/>
  <c r="K59" i="5" s="1"/>
  <c r="K41" i="5" s="1"/>
  <c r="K53" i="1" s="1"/>
  <c r="K5" i="5"/>
  <c r="K66" i="5"/>
  <c r="K67" i="5" s="1"/>
  <c r="K50" i="5"/>
  <c r="K51" i="5" s="1"/>
  <c r="L49" i="5"/>
  <c r="L75" i="5"/>
  <c r="J44" i="5"/>
  <c r="L44" i="5" s="1"/>
  <c r="L71" i="5"/>
  <c r="J41" i="5"/>
  <c r="L59" i="5"/>
  <c r="F140" i="2"/>
  <c r="H120" i="2"/>
  <c r="K32" i="10"/>
  <c r="J35" i="10"/>
  <c r="J8" i="20"/>
  <c r="J57" i="1" s="1"/>
  <c r="J40" i="29"/>
  <c r="J14" i="19"/>
  <c r="J28" i="3"/>
  <c r="J56" i="1" s="1"/>
  <c r="J86" i="2"/>
  <c r="I101" i="2"/>
  <c r="I119" i="2"/>
  <c r="I105" i="2"/>
  <c r="I132" i="2"/>
  <c r="I131" i="2"/>
  <c r="I100" i="2"/>
  <c r="I130" i="2"/>
  <c r="I128" i="2"/>
  <c r="I118" i="2"/>
  <c r="I104" i="2"/>
  <c r="I103" i="2"/>
  <c r="I91" i="2"/>
  <c r="I90" i="2"/>
  <c r="I133" i="2"/>
  <c r="I129" i="2"/>
  <c r="G137" i="2"/>
  <c r="G136" i="2"/>
  <c r="G124" i="2"/>
  <c r="G125" i="2"/>
  <c r="J54" i="1"/>
  <c r="L42" i="5"/>
  <c r="J55" i="1"/>
  <c r="L43" i="5"/>
  <c r="K77" i="2"/>
  <c r="K78" i="2"/>
  <c r="K5" i="2"/>
  <c r="L77" i="2"/>
  <c r="L25" i="2"/>
  <c r="H81" i="15"/>
  <c r="F141" i="2"/>
  <c r="I23" i="29"/>
  <c r="E149" i="2"/>
  <c r="J51" i="1"/>
  <c r="J45" i="5"/>
  <c r="L45" i="5" s="1"/>
  <c r="K5" i="27"/>
  <c r="H92" i="2"/>
  <c r="I50" i="1"/>
  <c r="G109" i="2"/>
  <c r="G108" i="2"/>
  <c r="K5" i="1"/>
  <c r="L14" i="2"/>
  <c r="H134" i="2"/>
  <c r="J32" i="28"/>
  <c r="J35" i="28"/>
  <c r="K34" i="10" s="1"/>
  <c r="J36" i="28"/>
  <c r="J34" i="28"/>
  <c r="I35" i="29" l="1"/>
  <c r="G141" i="2"/>
  <c r="L79" i="2"/>
  <c r="K79" i="2"/>
  <c r="K50" i="1" s="1"/>
  <c r="N50" i="1" s="1"/>
  <c r="J23" i="29"/>
  <c r="M75" i="5"/>
  <c r="G140" i="2"/>
  <c r="G142" i="2" s="1"/>
  <c r="M59" i="5"/>
  <c r="I120" i="2"/>
  <c r="I125" i="2" s="1"/>
  <c r="H96" i="2"/>
  <c r="H97" i="2"/>
  <c r="M56" i="1"/>
  <c r="M57" i="1"/>
  <c r="F142" i="2"/>
  <c r="F147" i="2"/>
  <c r="K35" i="10"/>
  <c r="K8" i="20"/>
  <c r="K57" i="1" s="1"/>
  <c r="K14" i="19"/>
  <c r="K28" i="3"/>
  <c r="K56" i="1" s="1"/>
  <c r="K40" i="29"/>
  <c r="K86" i="2"/>
  <c r="G112" i="2"/>
  <c r="M50" i="1"/>
  <c r="F148" i="2"/>
  <c r="M55" i="1"/>
  <c r="I81" i="15"/>
  <c r="I82" i="15"/>
  <c r="K39" i="5"/>
  <c r="M51" i="5"/>
  <c r="K42" i="5"/>
  <c r="M63" i="5"/>
  <c r="H136" i="2"/>
  <c r="H137" i="2"/>
  <c r="G113" i="2"/>
  <c r="I92" i="2"/>
  <c r="H125" i="2"/>
  <c r="H124" i="2"/>
  <c r="K43" i="5"/>
  <c r="M67" i="5"/>
  <c r="K44" i="5"/>
  <c r="M44" i="5" s="1"/>
  <c r="M71" i="5"/>
  <c r="M45" i="5"/>
  <c r="M51" i="1"/>
  <c r="M77" i="2"/>
  <c r="M54" i="1"/>
  <c r="I134" i="2"/>
  <c r="J101" i="2"/>
  <c r="L101" i="2" s="1"/>
  <c r="J119" i="2"/>
  <c r="L119" i="2" s="1"/>
  <c r="J105" i="2"/>
  <c r="L105" i="2" s="1"/>
  <c r="J90" i="2"/>
  <c r="J131" i="2"/>
  <c r="L131" i="2" s="1"/>
  <c r="J130" i="2"/>
  <c r="L130" i="2" s="1"/>
  <c r="J104" i="2"/>
  <c r="L104" i="2" s="1"/>
  <c r="J103" i="2"/>
  <c r="L103" i="2" s="1"/>
  <c r="J91" i="2"/>
  <c r="J118" i="2"/>
  <c r="L118" i="2" s="1"/>
  <c r="J129" i="2"/>
  <c r="L129" i="2" s="1"/>
  <c r="J128" i="2"/>
  <c r="J133" i="2"/>
  <c r="L133" i="2" s="1"/>
  <c r="J102" i="2"/>
  <c r="J132" i="2"/>
  <c r="L132" i="2" s="1"/>
  <c r="J100" i="2"/>
  <c r="J53" i="1"/>
  <c r="M41" i="5"/>
  <c r="L41" i="5"/>
  <c r="N56" i="1" l="1"/>
  <c r="M79" i="2"/>
  <c r="I124" i="2"/>
  <c r="L120" i="2"/>
  <c r="J106" i="2"/>
  <c r="L100" i="2"/>
  <c r="K23" i="29"/>
  <c r="H141" i="2"/>
  <c r="K54" i="1"/>
  <c r="M42" i="5"/>
  <c r="K51" i="1"/>
  <c r="M39" i="5"/>
  <c r="G114" i="2"/>
  <c r="G147" i="2"/>
  <c r="J134" i="2"/>
  <c r="L128" i="2"/>
  <c r="I136" i="2"/>
  <c r="I137" i="2"/>
  <c r="I141" i="2" s="1"/>
  <c r="L134" i="2"/>
  <c r="G148" i="2"/>
  <c r="H140" i="2"/>
  <c r="J81" i="15"/>
  <c r="J82" i="15"/>
  <c r="L90" i="2"/>
  <c r="M53" i="1"/>
  <c r="N53" i="1"/>
  <c r="J120" i="2"/>
  <c r="J92" i="2"/>
  <c r="L91" i="2"/>
  <c r="K55" i="1"/>
  <c r="M43" i="5"/>
  <c r="I97" i="2"/>
  <c r="I96" i="2"/>
  <c r="K131" i="2"/>
  <c r="M131" i="2" s="1"/>
  <c r="K100" i="2"/>
  <c r="K130" i="2"/>
  <c r="M130" i="2" s="1"/>
  <c r="K104" i="2"/>
  <c r="M104" i="2" s="1"/>
  <c r="K105" i="2"/>
  <c r="M105" i="2" s="1"/>
  <c r="K103" i="2"/>
  <c r="M103" i="2" s="1"/>
  <c r="K91" i="2"/>
  <c r="M91" i="2" s="1"/>
  <c r="K118" i="2"/>
  <c r="M118" i="2" s="1"/>
  <c r="K132" i="2"/>
  <c r="M132" i="2" s="1"/>
  <c r="K101" i="2"/>
  <c r="M101" i="2" s="1"/>
  <c r="K119" i="2"/>
  <c r="K90" i="2"/>
  <c r="K129" i="2"/>
  <c r="M129" i="2" s="1"/>
  <c r="K128" i="2"/>
  <c r="K133" i="2"/>
  <c r="M133" i="2" s="1"/>
  <c r="K102" i="2"/>
  <c r="N57" i="1"/>
  <c r="F149" i="2"/>
  <c r="I140" i="2" l="1"/>
  <c r="I142" i="2" s="1"/>
  <c r="K81" i="15"/>
  <c r="L92" i="2"/>
  <c r="N54" i="1"/>
  <c r="J108" i="2"/>
  <c r="J109" i="2"/>
  <c r="J136" i="2"/>
  <c r="L136" i="2" s="1"/>
  <c r="J137" i="2"/>
  <c r="L137" i="2" s="1"/>
  <c r="M128" i="2"/>
  <c r="K134" i="2"/>
  <c r="J124" i="2"/>
  <c r="J125" i="2"/>
  <c r="H142" i="2"/>
  <c r="N51" i="1"/>
  <c r="M90" i="2"/>
  <c r="M92" i="2" s="1"/>
  <c r="K120" i="2"/>
  <c r="K92" i="2"/>
  <c r="K106" i="2"/>
  <c r="N55" i="1"/>
  <c r="J96" i="2"/>
  <c r="L96" i="2" s="1"/>
  <c r="J97" i="2"/>
  <c r="M100" i="2"/>
  <c r="M119" i="2"/>
  <c r="M120" i="2" s="1"/>
  <c r="G149" i="2"/>
  <c r="J113" i="2" l="1"/>
  <c r="L97" i="2"/>
  <c r="K96" i="2"/>
  <c r="K97" i="2"/>
  <c r="M97" i="2" s="1"/>
  <c r="J141" i="2"/>
  <c r="L141" i="2" s="1"/>
  <c r="L125" i="2"/>
  <c r="K124" i="2"/>
  <c r="M124" i="2" s="1"/>
  <c r="K125" i="2"/>
  <c r="J140" i="2"/>
  <c r="L124" i="2"/>
  <c r="K136" i="2"/>
  <c r="M136" i="2" s="1"/>
  <c r="K137" i="2"/>
  <c r="M137" i="2" s="1"/>
  <c r="M134" i="2"/>
  <c r="K108" i="2"/>
  <c r="K109" i="2"/>
  <c r="J112" i="2"/>
  <c r="K141" i="2" l="1"/>
  <c r="M141" i="2" s="1"/>
  <c r="K140" i="2"/>
  <c r="K113" i="2"/>
  <c r="J148" i="2"/>
  <c r="J142" i="2"/>
  <c r="L142" i="2" s="1"/>
  <c r="L140" i="2"/>
  <c r="M125" i="2"/>
  <c r="K112" i="2"/>
  <c r="M96" i="2"/>
  <c r="J147" i="2"/>
  <c r="J114" i="2"/>
  <c r="K148" i="2" l="1"/>
  <c r="K142" i="2"/>
  <c r="M142" i="2" s="1"/>
  <c r="M140" i="2"/>
  <c r="K147" i="2"/>
  <c r="K114" i="2"/>
  <c r="J149" i="2"/>
  <c r="K149" i="2" l="1"/>
  <c r="H53" i="5" l="1"/>
  <c r="H18" i="5"/>
  <c r="L12" i="5"/>
  <c r="L18" i="5" s="1"/>
  <c r="J85" i="5"/>
  <c r="J102" i="5" s="1"/>
  <c r="I18" i="5" l="1"/>
  <c r="I53" i="5"/>
  <c r="I55" i="5" s="1"/>
  <c r="I40" i="5" s="1"/>
  <c r="K85" i="5"/>
  <c r="K102" i="5" s="1"/>
  <c r="J15" i="4"/>
  <c r="J22" i="29"/>
  <c r="J35" i="29" s="1"/>
  <c r="H55" i="5"/>
  <c r="L53" i="5"/>
  <c r="J26" i="4" l="1"/>
  <c r="J18" i="5"/>
  <c r="J53" i="5"/>
  <c r="K15" i="4"/>
  <c r="K22" i="29"/>
  <c r="K35" i="29" s="1"/>
  <c r="H40" i="5"/>
  <c r="I52" i="1"/>
  <c r="I46" i="5"/>
  <c r="M12" i="5"/>
  <c r="M18" i="5" s="1"/>
  <c r="K26" i="4" l="1"/>
  <c r="K18" i="5"/>
  <c r="K53" i="5"/>
  <c r="K55" i="5" s="1"/>
  <c r="K40" i="5" s="1"/>
  <c r="J55" i="5"/>
  <c r="H52" i="1"/>
  <c r="H46" i="5"/>
  <c r="L40" i="5"/>
  <c r="L46" i="5" s="1"/>
  <c r="M53" i="5" l="1"/>
  <c r="M52" i="1"/>
  <c r="L55" i="5"/>
  <c r="J40" i="5"/>
  <c r="M55" i="5"/>
  <c r="K52" i="1"/>
  <c r="K46" i="5"/>
  <c r="J46" i="5" l="1"/>
  <c r="J52" i="1"/>
  <c r="M40" i="5"/>
  <c r="M46" i="5" s="1"/>
  <c r="N52" i="1" l="1"/>
  <c r="H64" i="4" l="1"/>
  <c r="H66" i="4" s="1"/>
  <c r="H68" i="4" s="1"/>
  <c r="H18" i="15" l="1"/>
  <c r="H23" i="15" l="1"/>
  <c r="H46" i="15" l="1"/>
  <c r="H48" i="15" s="1"/>
  <c r="H80" i="15" l="1"/>
  <c r="H82" i="15" s="1"/>
  <c r="H50" i="15"/>
  <c r="F78" i="15" l="1"/>
  <c r="E78" i="15" l="1"/>
  <c r="F46" i="15"/>
  <c r="F48" i="15" s="1"/>
  <c r="F80" i="15" l="1"/>
  <c r="F82" i="15" s="1"/>
  <c r="F50" i="15"/>
  <c r="E46" i="15"/>
  <c r="E48" i="15" s="1"/>
  <c r="E80" i="15" l="1"/>
  <c r="E82" i="15" s="1"/>
  <c r="E50" i="15"/>
  <c r="G69" i="29" l="1"/>
  <c r="K69" i="29"/>
  <c r="J69" i="29"/>
  <c r="H69" i="29"/>
  <c r="J71" i="29" l="1"/>
  <c r="J74" i="29" s="1"/>
  <c r="J75" i="29" s="1"/>
  <c r="H71" i="29"/>
  <c r="H74" i="29" s="1"/>
  <c r="H75" i="29" s="1"/>
  <c r="K71" i="29"/>
  <c r="K74" i="29" s="1"/>
  <c r="K75" i="29" s="1"/>
  <c r="G71" i="29"/>
  <c r="G74" i="29" s="1"/>
  <c r="G75" i="29" s="1"/>
  <c r="F69" i="29"/>
  <c r="E69" i="29"/>
  <c r="D69" i="29"/>
  <c r="I69" i="29"/>
  <c r="D71" i="29" l="1"/>
  <c r="D74" i="29" s="1"/>
  <c r="D75" i="29" s="1"/>
  <c r="E71" i="29"/>
  <c r="E74" i="29" s="1"/>
  <c r="E75" i="29" s="1"/>
  <c r="I71" i="29"/>
  <c r="I74" i="29" s="1"/>
  <c r="I75" i="29" s="1"/>
  <c r="F71" i="29"/>
  <c r="F74" i="29" s="1"/>
  <c r="F75" i="29" s="1"/>
  <c r="H28" i="2" l="1"/>
  <c r="M24" i="2"/>
  <c r="L24" i="2"/>
  <c r="H102" i="2"/>
  <c r="H30" i="2" l="1"/>
  <c r="H31" i="2"/>
  <c r="L28" i="2"/>
  <c r="H106" i="2"/>
  <c r="L102" i="2"/>
  <c r="I28" i="2"/>
  <c r="I102" i="2"/>
  <c r="I106" i="2" s="1"/>
  <c r="M102" i="2" l="1"/>
  <c r="I30" i="2"/>
  <c r="I34" i="2" s="1"/>
  <c r="I31" i="2"/>
  <c r="I35" i="2" s="1"/>
  <c r="H109" i="2"/>
  <c r="H108" i="2"/>
  <c r="L106" i="2"/>
  <c r="M106" i="2"/>
  <c r="M28" i="2"/>
  <c r="H35" i="2"/>
  <c r="L31" i="2"/>
  <c r="I109" i="2"/>
  <c r="I113" i="2" s="1"/>
  <c r="I148" i="2" s="1"/>
  <c r="I108" i="2"/>
  <c r="I112" i="2" s="1"/>
  <c r="M30" i="2"/>
  <c r="H34" i="2"/>
  <c r="L30" i="2"/>
  <c r="M31" i="2" l="1"/>
  <c r="H69" i="2"/>
  <c r="H36" i="2"/>
  <c r="M34" i="2"/>
  <c r="L34" i="2"/>
  <c r="I147" i="2"/>
  <c r="I149" i="2" s="1"/>
  <c r="I114" i="2"/>
  <c r="H112" i="2"/>
  <c r="L108" i="2"/>
  <c r="M108" i="2"/>
  <c r="H113" i="2"/>
  <c r="L109" i="2"/>
  <c r="M109" i="2"/>
  <c r="I70" i="2"/>
  <c r="I49" i="1"/>
  <c r="M35" i="2"/>
  <c r="H70" i="2"/>
  <c r="H49" i="1"/>
  <c r="L35" i="2"/>
  <c r="I69" i="2"/>
  <c r="I36" i="2"/>
  <c r="M70" i="2" l="1"/>
  <c r="L70" i="2"/>
  <c r="H147" i="2"/>
  <c r="H114" i="2"/>
  <c r="L112" i="2"/>
  <c r="M112" i="2"/>
  <c r="I71" i="2"/>
  <c r="M36" i="2"/>
  <c r="L36" i="2"/>
  <c r="H148" i="2"/>
  <c r="L113" i="2"/>
  <c r="M113" i="2"/>
  <c r="N49" i="1"/>
  <c r="M49" i="1"/>
  <c r="M69" i="2"/>
  <c r="H71" i="2"/>
  <c r="L69" i="2"/>
  <c r="L148" i="2" l="1"/>
  <c r="M148" i="2"/>
  <c r="M71" i="2"/>
  <c r="L71" i="2"/>
  <c r="L114" i="2"/>
  <c r="M114" i="2"/>
  <c r="H149" i="2"/>
  <c r="L147" i="2"/>
  <c r="M147" i="2"/>
  <c r="L149" i="2" l="1"/>
  <c r="M149" i="2"/>
  <c r="D35" i="29" l="1"/>
  <c r="D38" i="29" s="1"/>
  <c r="D42" i="29" s="1"/>
  <c r="D80" i="29" s="1"/>
  <c r="D50" i="29"/>
  <c r="F35" i="29" l="1"/>
  <c r="F38" i="29" s="1"/>
  <c r="F42" i="29" l="1"/>
  <c r="F80" i="29" s="1"/>
  <c r="F50" i="29"/>
  <c r="H38" i="29"/>
  <c r="H42" i="29" l="1"/>
  <c r="H80" i="29" s="1"/>
  <c r="H50" i="29"/>
  <c r="G35" i="29" l="1"/>
  <c r="G38" i="29" s="1"/>
  <c r="E35" i="29"/>
  <c r="E38" i="29" s="1"/>
  <c r="E42" i="29" l="1"/>
  <c r="E80" i="29" s="1"/>
  <c r="E50" i="29"/>
  <c r="G50" i="29"/>
  <c r="G42" i="29"/>
  <c r="G80" i="29" s="1"/>
  <c r="K38" i="29" l="1"/>
  <c r="I38" i="29"/>
  <c r="J38" i="29"/>
  <c r="J42" i="29" l="1"/>
  <c r="J80" i="29" s="1"/>
  <c r="J50" i="29"/>
  <c r="I50" i="29"/>
  <c r="I42" i="29"/>
  <c r="I80" i="29" s="1"/>
  <c r="K42" i="29"/>
  <c r="K80" i="29" s="1"/>
  <c r="K50" i="29"/>
  <c r="G21" i="10" l="1"/>
  <c r="K21" i="10"/>
  <c r="J21" i="10"/>
  <c r="F24" i="10"/>
  <c r="I21" i="10"/>
  <c r="D31" i="10"/>
  <c r="D21" i="10"/>
  <c r="D29" i="10" s="1"/>
  <c r="H21" i="10"/>
  <c r="H24" i="10"/>
  <c r="G24" i="10"/>
  <c r="E24" i="10"/>
  <c r="E21" i="10" l="1"/>
  <c r="E31" i="10"/>
  <c r="F21" i="10"/>
  <c r="F31" i="10"/>
  <c r="D32" i="10"/>
  <c r="D38" i="10"/>
  <c r="E16" i="10"/>
  <c r="E18" i="10" s="1"/>
  <c r="D47" i="10"/>
  <c r="H31" i="10"/>
  <c r="G31" i="10"/>
  <c r="E29" i="10" l="1"/>
  <c r="F16" i="10" s="1"/>
  <c r="F18" i="10" s="1"/>
  <c r="F29" i="10" s="1"/>
  <c r="E32" i="10"/>
  <c r="E38" i="10"/>
  <c r="E47" i="10"/>
  <c r="J24" i="10"/>
  <c r="J31" i="10"/>
  <c r="K24" i="10"/>
  <c r="K31" i="10"/>
  <c r="I24" i="10"/>
  <c r="I31" i="10"/>
  <c r="D45" i="10"/>
  <c r="D46" i="10"/>
  <c r="D48" i="29" l="1"/>
  <c r="D50" i="10"/>
  <c r="D65" i="1"/>
  <c r="D54" i="10"/>
  <c r="D49" i="10"/>
  <c r="D53" i="10"/>
  <c r="E45" i="10"/>
  <c r="E46" i="10"/>
  <c r="D66" i="1"/>
  <c r="G16" i="10"/>
  <c r="G18" i="10" s="1"/>
  <c r="G29" i="10" s="1"/>
  <c r="F32" i="10"/>
  <c r="F38" i="10"/>
  <c r="F47" i="10"/>
  <c r="D51" i="10" l="1"/>
  <c r="D57" i="10"/>
  <c r="D34" i="1"/>
  <c r="D38" i="1"/>
  <c r="D32" i="1"/>
  <c r="D31" i="1"/>
  <c r="D35" i="1"/>
  <c r="D30" i="1"/>
  <c r="D33" i="1"/>
  <c r="D37" i="1"/>
  <c r="D36" i="1"/>
  <c r="E49" i="10"/>
  <c r="E53" i="10"/>
  <c r="D19" i="1"/>
  <c r="D12" i="1"/>
  <c r="D16" i="1"/>
  <c r="D14" i="1"/>
  <c r="D17" i="1"/>
  <c r="D15" i="1"/>
  <c r="D13" i="1"/>
  <c r="D18" i="1"/>
  <c r="D11" i="1"/>
  <c r="G47" i="10"/>
  <c r="G38" i="10"/>
  <c r="G32" i="10"/>
  <c r="H16" i="10"/>
  <c r="H18" i="10" s="1"/>
  <c r="H29" i="10" s="1"/>
  <c r="E54" i="10"/>
  <c r="E65" i="1"/>
  <c r="E50" i="10"/>
  <c r="D58" i="10"/>
  <c r="D48" i="1"/>
  <c r="F46" i="10"/>
  <c r="F45" i="10"/>
  <c r="D55" i="10"/>
  <c r="D59" i="10" l="1"/>
  <c r="E48" i="29"/>
  <c r="E48" i="1"/>
  <c r="E58" i="10"/>
  <c r="E66" i="1"/>
  <c r="G46" i="10"/>
  <c r="G45" i="10"/>
  <c r="F49" i="10"/>
  <c r="F53" i="10"/>
  <c r="E18" i="1"/>
  <c r="E19" i="1"/>
  <c r="E17" i="1"/>
  <c r="E14" i="1"/>
  <c r="E15" i="1"/>
  <c r="E16" i="1"/>
  <c r="E13" i="1"/>
  <c r="E12" i="1"/>
  <c r="E11" i="1"/>
  <c r="F50" i="10"/>
  <c r="F65" i="1"/>
  <c r="F54" i="10"/>
  <c r="H38" i="10"/>
  <c r="I16" i="10"/>
  <c r="I18" i="10" s="1"/>
  <c r="I29" i="10" s="1"/>
  <c r="H47" i="10"/>
  <c r="E57" i="10"/>
  <c r="E86" i="29"/>
  <c r="E51" i="10"/>
  <c r="F66" i="1"/>
  <c r="D10" i="1"/>
  <c r="D20" i="1" s="1"/>
  <c r="D29" i="1"/>
  <c r="D39" i="1" s="1"/>
  <c r="D58" i="1"/>
  <c r="F48" i="29"/>
  <c r="E55" i="10"/>
  <c r="G48" i="29" l="1"/>
  <c r="D86" i="29"/>
  <c r="G66" i="1"/>
  <c r="J16" i="10"/>
  <c r="J18" i="10" s="1"/>
  <c r="J29" i="10" s="1"/>
  <c r="I38" i="10"/>
  <c r="I47" i="10"/>
  <c r="E32" i="1"/>
  <c r="E35" i="1"/>
  <c r="E31" i="1"/>
  <c r="E33" i="1"/>
  <c r="E34" i="1"/>
  <c r="E38" i="1"/>
  <c r="E37" i="1"/>
  <c r="E30" i="1"/>
  <c r="E36" i="1"/>
  <c r="E87" i="29"/>
  <c r="F11" i="1"/>
  <c r="F14" i="1"/>
  <c r="F13" i="1"/>
  <c r="F16" i="1"/>
  <c r="F15" i="1"/>
  <c r="F17" i="1"/>
  <c r="F18" i="1"/>
  <c r="F12" i="1"/>
  <c r="F19" i="1"/>
  <c r="F48" i="1"/>
  <c r="F58" i="10"/>
  <c r="F55" i="10"/>
  <c r="E59" i="10"/>
  <c r="F57" i="10"/>
  <c r="F51" i="10"/>
  <c r="E10" i="1"/>
  <c r="E20" i="1" s="1"/>
  <c r="E58" i="1"/>
  <c r="E29" i="1"/>
  <c r="G49" i="10"/>
  <c r="G53" i="10"/>
  <c r="F31" i="1"/>
  <c r="F37" i="1"/>
  <c r="F35" i="1"/>
  <c r="F33" i="1"/>
  <c r="F32" i="1"/>
  <c r="F36" i="1"/>
  <c r="F34" i="1"/>
  <c r="F38" i="1"/>
  <c r="F30" i="1"/>
  <c r="H45" i="10"/>
  <c r="H46" i="10"/>
  <c r="G54" i="10"/>
  <c r="G50" i="10"/>
  <c r="G65" i="1"/>
  <c r="D88" i="29" l="1"/>
  <c r="D89" i="29" s="1"/>
  <c r="D59" i="1" s="1"/>
  <c r="D21" i="1" s="1"/>
  <c r="G30" i="1"/>
  <c r="G35" i="1"/>
  <c r="G31" i="1"/>
  <c r="G33" i="1"/>
  <c r="G36" i="1"/>
  <c r="G32" i="1"/>
  <c r="G34" i="1"/>
  <c r="G38" i="1"/>
  <c r="G37" i="1"/>
  <c r="G55" i="10"/>
  <c r="G57" i="10"/>
  <c r="G51" i="10"/>
  <c r="F59" i="10"/>
  <c r="F58" i="1"/>
  <c r="F29" i="1"/>
  <c r="F39" i="1" s="1"/>
  <c r="F10" i="1"/>
  <c r="F20" i="1" s="1"/>
  <c r="H48" i="29"/>
  <c r="D87" i="29"/>
  <c r="H66" i="1"/>
  <c r="E39" i="1"/>
  <c r="I45" i="10"/>
  <c r="I46" i="10"/>
  <c r="G12" i="1"/>
  <c r="G14" i="1"/>
  <c r="G17" i="1"/>
  <c r="G11" i="1"/>
  <c r="G18" i="1"/>
  <c r="G15" i="1"/>
  <c r="G16" i="1"/>
  <c r="G13" i="1"/>
  <c r="G19" i="1"/>
  <c r="H50" i="10"/>
  <c r="H54" i="10"/>
  <c r="H65" i="1"/>
  <c r="E88" i="29"/>
  <c r="G48" i="1"/>
  <c r="G58" i="10"/>
  <c r="H53" i="10"/>
  <c r="H55" i="10" s="1"/>
  <c r="H49" i="10"/>
  <c r="M13" i="1"/>
  <c r="J47" i="10"/>
  <c r="K16" i="10"/>
  <c r="K18" i="10" s="1"/>
  <c r="K29" i="10" s="1"/>
  <c r="J38" i="10"/>
  <c r="M17" i="1" l="1"/>
  <c r="D51" i="29"/>
  <c r="D52" i="29" s="1"/>
  <c r="D54" i="29" s="1"/>
  <c r="D82" i="29" s="1"/>
  <c r="D61" i="1" s="1"/>
  <c r="D90" i="29"/>
  <c r="D60" i="1" s="1"/>
  <c r="D40" i="1" s="1"/>
  <c r="M14" i="1"/>
  <c r="M11" i="1"/>
  <c r="M15" i="1"/>
  <c r="M19" i="1"/>
  <c r="H58" i="10"/>
  <c r="H48" i="1"/>
  <c r="I48" i="29"/>
  <c r="D84" i="29"/>
  <c r="J46" i="10"/>
  <c r="J45" i="10"/>
  <c r="H51" i="10"/>
  <c r="H57" i="10"/>
  <c r="I66" i="1"/>
  <c r="I49" i="10"/>
  <c r="I53" i="10"/>
  <c r="F86" i="29"/>
  <c r="G10" i="1"/>
  <c r="G20" i="1" s="1"/>
  <c r="G58" i="1"/>
  <c r="G29" i="1"/>
  <c r="G39" i="1" s="1"/>
  <c r="G59" i="10"/>
  <c r="I54" i="10"/>
  <c r="I65" i="1"/>
  <c r="I50" i="10"/>
  <c r="H13" i="1"/>
  <c r="H12" i="1"/>
  <c r="H16" i="1"/>
  <c r="H17" i="1"/>
  <c r="H15" i="1"/>
  <c r="H19" i="1"/>
  <c r="H14" i="1"/>
  <c r="H18" i="1"/>
  <c r="H11" i="1"/>
  <c r="M18" i="1"/>
  <c r="M16" i="1"/>
  <c r="M12" i="1"/>
  <c r="K47" i="10"/>
  <c r="K38" i="10"/>
  <c r="E89" i="29"/>
  <c r="E51" i="29"/>
  <c r="E52" i="29" s="1"/>
  <c r="E54" i="29" s="1"/>
  <c r="E82" i="29" s="1"/>
  <c r="H37" i="1"/>
  <c r="H31" i="1"/>
  <c r="H34" i="1"/>
  <c r="H35" i="1"/>
  <c r="H33" i="1"/>
  <c r="H32" i="1"/>
  <c r="H38" i="1"/>
  <c r="H36" i="1"/>
  <c r="H30" i="1"/>
  <c r="M37" i="1"/>
  <c r="M36" i="1"/>
  <c r="M30" i="1"/>
  <c r="M33" i="1"/>
  <c r="M38" i="1"/>
  <c r="M34" i="1"/>
  <c r="M35" i="1"/>
  <c r="M32" i="1"/>
  <c r="M31" i="1"/>
  <c r="D62" i="1" l="1"/>
  <c r="D63" i="1" s="1"/>
  <c r="F88" i="29"/>
  <c r="F89" i="29" s="1"/>
  <c r="F59" i="1" s="1"/>
  <c r="F21" i="1" s="1"/>
  <c r="G88" i="29"/>
  <c r="G89" i="29" s="1"/>
  <c r="G59" i="1" s="1"/>
  <c r="G21" i="1" s="1"/>
  <c r="H59" i="10"/>
  <c r="I34" i="1"/>
  <c r="I31" i="1"/>
  <c r="I35" i="1"/>
  <c r="I37" i="1"/>
  <c r="I32" i="1"/>
  <c r="I36" i="1"/>
  <c r="I33" i="1"/>
  <c r="I38" i="1"/>
  <c r="I30" i="1"/>
  <c r="J66" i="1"/>
  <c r="J53" i="10"/>
  <c r="J49" i="10"/>
  <c r="F87" i="29"/>
  <c r="J54" i="10"/>
  <c r="J50" i="10"/>
  <c r="J65" i="1"/>
  <c r="I55" i="10"/>
  <c r="J48" i="29"/>
  <c r="I57" i="10"/>
  <c r="I51" i="10"/>
  <c r="K45" i="10"/>
  <c r="K46" i="10"/>
  <c r="M10" i="1"/>
  <c r="H10" i="1"/>
  <c r="H29" i="1"/>
  <c r="H39" i="1" s="1"/>
  <c r="H58" i="1"/>
  <c r="E61" i="1"/>
  <c r="E84" i="29"/>
  <c r="G86" i="29"/>
  <c r="D22" i="1"/>
  <c r="D23" i="1" s="1"/>
  <c r="D41" i="1"/>
  <c r="D42" i="1" s="1"/>
  <c r="E59" i="1"/>
  <c r="E90" i="29"/>
  <c r="E60" i="1" s="1"/>
  <c r="I48" i="1"/>
  <c r="I58" i="10"/>
  <c r="M29" i="1"/>
  <c r="M39" i="1" s="1"/>
  <c r="M48" i="1"/>
  <c r="M58" i="1" s="1"/>
  <c r="I19" i="1"/>
  <c r="I15" i="1"/>
  <c r="I14" i="1"/>
  <c r="I12" i="1"/>
  <c r="I18" i="1"/>
  <c r="I13" i="1"/>
  <c r="I17" i="1"/>
  <c r="I16" i="1"/>
  <c r="I11" i="1"/>
  <c r="F90" i="29" l="1"/>
  <c r="F60" i="1" s="1"/>
  <c r="F51" i="29"/>
  <c r="F52" i="29" s="1"/>
  <c r="F54" i="29" s="1"/>
  <c r="F82" i="29" s="1"/>
  <c r="F84" i="29" s="1"/>
  <c r="F62" i="1" s="1"/>
  <c r="H20" i="1"/>
  <c r="M20" i="1"/>
  <c r="J55" i="10"/>
  <c r="H88" i="29"/>
  <c r="H89" i="29" s="1"/>
  <c r="H59" i="1" s="1"/>
  <c r="F40" i="1"/>
  <c r="J33" i="1"/>
  <c r="J31" i="1"/>
  <c r="J32" i="1"/>
  <c r="J36" i="1"/>
  <c r="J35" i="1"/>
  <c r="J38" i="1"/>
  <c r="J34" i="1"/>
  <c r="J37" i="1"/>
  <c r="J30" i="1"/>
  <c r="K48" i="29"/>
  <c r="I10" i="1"/>
  <c r="I20" i="1" s="1"/>
  <c r="I29" i="1"/>
  <c r="I39" i="1" s="1"/>
  <c r="I58" i="1"/>
  <c r="K65" i="1"/>
  <c r="K50" i="10"/>
  <c r="K54" i="10"/>
  <c r="I59" i="10"/>
  <c r="H86" i="29"/>
  <c r="G51" i="29"/>
  <c r="G52" i="29" s="1"/>
  <c r="G54" i="29" s="1"/>
  <c r="G82" i="29" s="1"/>
  <c r="G87" i="29"/>
  <c r="G90" i="29" s="1"/>
  <c r="G60" i="1" s="1"/>
  <c r="K49" i="10"/>
  <c r="K53" i="10"/>
  <c r="F61" i="1"/>
  <c r="E40" i="1"/>
  <c r="E62" i="1"/>
  <c r="E63" i="1" s="1"/>
  <c r="K66" i="1"/>
  <c r="J48" i="1"/>
  <c r="J58" i="10"/>
  <c r="E21" i="1"/>
  <c r="E22" i="1"/>
  <c r="J11" i="1"/>
  <c r="J19" i="1"/>
  <c r="J17" i="1"/>
  <c r="J18" i="1"/>
  <c r="J13" i="1"/>
  <c r="J16" i="1"/>
  <c r="J12" i="1"/>
  <c r="J15" i="1"/>
  <c r="J14" i="1"/>
  <c r="J57" i="10"/>
  <c r="J51" i="10"/>
  <c r="N31" i="1" l="1"/>
  <c r="N14" i="1"/>
  <c r="N38" i="1"/>
  <c r="I88" i="29"/>
  <c r="I89" i="29" s="1"/>
  <c r="I59" i="1" s="1"/>
  <c r="I21" i="1" s="1"/>
  <c r="J59" i="10"/>
  <c r="N36" i="1"/>
  <c r="E41" i="1"/>
  <c r="E42" i="1" s="1"/>
  <c r="M59" i="1"/>
  <c r="M21" i="1"/>
  <c r="E23" i="1"/>
  <c r="N37" i="1"/>
  <c r="K55" i="10"/>
  <c r="G40" i="1"/>
  <c r="K34" i="1"/>
  <c r="K31" i="1"/>
  <c r="K36" i="1"/>
  <c r="K32" i="1"/>
  <c r="K30" i="1"/>
  <c r="K35" i="1"/>
  <c r="K38" i="1"/>
  <c r="K33" i="1"/>
  <c r="K37" i="1"/>
  <c r="N33" i="1"/>
  <c r="N35" i="1"/>
  <c r="N34" i="1"/>
  <c r="H87" i="29"/>
  <c r="H90" i="29" s="1"/>
  <c r="H60" i="1" s="1"/>
  <c r="H40" i="1" s="1"/>
  <c r="H51" i="29"/>
  <c r="H52" i="29" s="1"/>
  <c r="H54" i="29" s="1"/>
  <c r="H82" i="29" s="1"/>
  <c r="K51" i="10"/>
  <c r="K57" i="10"/>
  <c r="K58" i="10"/>
  <c r="K48" i="1"/>
  <c r="H21" i="1"/>
  <c r="K18" i="1"/>
  <c r="K15" i="1"/>
  <c r="K13" i="1"/>
  <c r="K14" i="1"/>
  <c r="K19" i="1"/>
  <c r="K12" i="1"/>
  <c r="K17" i="1"/>
  <c r="K16" i="1"/>
  <c r="K11" i="1"/>
  <c r="N11" i="1"/>
  <c r="N18" i="1"/>
  <c r="N19" i="1"/>
  <c r="N15" i="1"/>
  <c r="N16" i="1"/>
  <c r="N13" i="1"/>
  <c r="N17" i="1"/>
  <c r="N12" i="1"/>
  <c r="G61" i="1"/>
  <c r="G84" i="29"/>
  <c r="G62" i="1" s="1"/>
  <c r="I86" i="29"/>
  <c r="N32" i="1"/>
  <c r="J10" i="1"/>
  <c r="J20" i="1" s="1"/>
  <c r="J58" i="1"/>
  <c r="J29" i="1"/>
  <c r="J39" i="1" s="1"/>
  <c r="F22" i="1"/>
  <c r="F23" i="1" s="1"/>
  <c r="N30" i="1"/>
  <c r="F41" i="1"/>
  <c r="F42" i="1" s="1"/>
  <c r="F63" i="1"/>
  <c r="K59" i="10" l="1"/>
  <c r="M40" i="1"/>
  <c r="M60" i="1"/>
  <c r="G22" i="1"/>
  <c r="G23" i="1" s="1"/>
  <c r="G41" i="1"/>
  <c r="G42" i="1" s="1"/>
  <c r="J86" i="29"/>
  <c r="H61" i="1"/>
  <c r="M61" i="1" s="1"/>
  <c r="H84" i="29"/>
  <c r="H62" i="1" s="1"/>
  <c r="M41" i="1" s="1"/>
  <c r="I87" i="29"/>
  <c r="I90" i="29" s="1"/>
  <c r="I60" i="1" s="1"/>
  <c r="I51" i="29"/>
  <c r="I52" i="29" s="1"/>
  <c r="I54" i="29" s="1"/>
  <c r="I82" i="29" s="1"/>
  <c r="N48" i="1"/>
  <c r="N58" i="1" s="1"/>
  <c r="K10" i="1"/>
  <c r="K20" i="1" s="1"/>
  <c r="K58" i="1"/>
  <c r="K29" i="1"/>
  <c r="K39" i="1" s="1"/>
  <c r="N29" i="1"/>
  <c r="N10" i="1"/>
  <c r="G63" i="1"/>
  <c r="N20" i="1" l="1"/>
  <c r="N39" i="1"/>
  <c r="H63" i="1"/>
  <c r="J88" i="29"/>
  <c r="J89" i="29" s="1"/>
  <c r="J59" i="1" s="1"/>
  <c r="J21" i="1" s="1"/>
  <c r="M22" i="1"/>
  <c r="M42" i="1"/>
  <c r="I40" i="1"/>
  <c r="I61" i="1"/>
  <c r="I84" i="29"/>
  <c r="I62" i="1" s="1"/>
  <c r="J87" i="29"/>
  <c r="H41" i="1"/>
  <c r="H42" i="1" s="1"/>
  <c r="M62" i="1"/>
  <c r="M63" i="1" s="1"/>
  <c r="K86" i="29"/>
  <c r="H22" i="1"/>
  <c r="M23" i="1" l="1"/>
  <c r="H23" i="1"/>
  <c r="J51" i="29"/>
  <c r="J52" i="29" s="1"/>
  <c r="J54" i="29" s="1"/>
  <c r="J82" i="29" s="1"/>
  <c r="J61" i="1" s="1"/>
  <c r="J90" i="29"/>
  <c r="J60" i="1" s="1"/>
  <c r="J40" i="1" s="1"/>
  <c r="K88" i="29"/>
  <c r="K89" i="29" s="1"/>
  <c r="K59" i="1" s="1"/>
  <c r="I22" i="1"/>
  <c r="I23" i="1" s="1"/>
  <c r="I41" i="1"/>
  <c r="I42" i="1" s="1"/>
  <c r="I63" i="1"/>
  <c r="K87" i="29"/>
  <c r="J84" i="29" l="1"/>
  <c r="J62" i="1" s="1"/>
  <c r="J41" i="1" s="1"/>
  <c r="J42" i="1" s="1"/>
  <c r="K21" i="1"/>
  <c r="N59" i="1"/>
  <c r="N21" i="1"/>
  <c r="J22" i="1"/>
  <c r="J23" i="1" s="1"/>
  <c r="K90" i="29"/>
  <c r="K60" i="1" s="1"/>
  <c r="N60" i="1" s="1"/>
  <c r="K51" i="29"/>
  <c r="K52" i="29" s="1"/>
  <c r="K54" i="29" s="1"/>
  <c r="K82" i="29" s="1"/>
  <c r="J63" i="1" l="1"/>
  <c r="K40" i="1"/>
  <c r="K61" i="1"/>
  <c r="K84" i="29"/>
  <c r="K62" i="1" s="1"/>
  <c r="N40" i="1"/>
  <c r="K41" i="1" l="1"/>
  <c r="K42" i="1" s="1"/>
  <c r="N62" i="1"/>
  <c r="K22" i="1"/>
  <c r="K23" i="1" s="1"/>
  <c r="N61" i="1"/>
  <c r="N22" i="1"/>
  <c r="N41" i="1"/>
  <c r="K63" i="1"/>
  <c r="N23" i="1" l="1"/>
  <c r="N42" i="1"/>
  <c r="N63" i="1"/>
  <c r="H13" i="11" l="1"/>
</calcChain>
</file>

<file path=xl/sharedStrings.xml><?xml version="1.0" encoding="utf-8"?>
<sst xmlns="http://schemas.openxmlformats.org/spreadsheetml/2006/main" count="1500" uniqueCount="667">
  <si>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</si>
  <si>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</si>
  <si>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</si>
  <si>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</si>
  <si>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</si>
  <si>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</si>
  <si>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</si>
  <si>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</si>
  <si>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</si>
  <si>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</si>
  <si>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</si>
  <si>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</si>
  <si>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</si>
  <si>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</si>
  <si>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</si>
  <si>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</si>
  <si>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</si>
  <si>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</si>
  <si>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</si>
  <si>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</si>
  <si>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</si>
  <si>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</si>
  <si>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</si>
  <si>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</si>
  <si>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</si>
  <si>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</si>
  <si>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</si>
  <si>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</si>
  <si>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</si>
  <si>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</si>
  <si>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</si>
  <si>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</si>
  <si>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</si>
  <si>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</si>
  <si>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</si>
  <si>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</si>
  <si>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</si>
  <si>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</si>
  <si>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</si>
  <si>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</si>
  <si>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</si>
  <si>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</si>
  <si>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</si>
  <si>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</si>
  <si>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</si>
  <si>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</si>
  <si>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</si>
  <si>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</si>
  <si>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</si>
  <si>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</si>
  <si>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</si>
  <si>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</si>
  <si>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</si>
  <si>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</si>
  <si>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</si>
  <si>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</si>
  <si>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</si>
  <si>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</si>
  <si>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</si>
  <si>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</si>
  <si>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</si>
  <si>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</si>
  <si>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</si>
  <si>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</si>
  <si>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</si>
  <si>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</si>
  <si>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</si>
  <si>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</si>
  <si>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</si>
  <si>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</si>
  <si>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</si>
  <si>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</si>
  <si>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</si>
  <si>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</si>
  <si>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</si>
  <si>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</si>
  <si>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</si>
  <si>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</si>
  <si>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</si>
  <si>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</si>
  <si>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</si>
  <si>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</si>
  <si>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</si>
  <si>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</si>
  <si>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</si>
  <si>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</si>
  <si>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</si>
  <si>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</si>
  <si>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</si>
  <si>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</si>
  <si>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</si>
  <si>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</si>
  <si>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</si>
  <si>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</si>
  <si>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</si>
  <si>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</si>
  <si>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</si>
  <si>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</si>
  <si>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</si>
  <si>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</si>
  <si>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</si>
  <si>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</si>
  <si>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</si>
  <si>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</si>
  <si>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</si>
  <si>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</si>
  <si>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</si>
  <si>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</si>
  <si>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</si>
  <si>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</si>
  <si>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</si>
  <si>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</si>
  <si>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</si>
  <si>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</si>
  <si>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</si>
  <si>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</si>
  <si>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</si>
  <si>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</si>
  <si>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</si>
  <si>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</si>
  <si>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</si>
  <si>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</si>
  <si>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</si>
  <si>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</si>
  <si>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</si>
  <si>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</si>
  <si>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</si>
  <si>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</si>
  <si>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</si>
  <si>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</si>
  <si>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</si>
  <si>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</si>
  <si>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</si>
  <si>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</si>
  <si>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</si>
  <si>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</si>
  <si>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</si>
  <si>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</si>
  <si>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</si>
  <si>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</si>
  <si>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</si>
  <si>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</si>
  <si>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</si>
  <si>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</si>
  <si>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</si>
  <si>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</si>
  <si>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</si>
  <si>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</si>
  <si>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</si>
  <si>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</si>
  <si>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</si>
  <si>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</si>
  <si>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</si>
  <si>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</si>
  <si>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</si>
  <si>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</si>
  <si>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</si>
  <si>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</si>
  <si>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</si>
  <si>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</si>
  <si>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</si>
  <si>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</si>
  <si>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</si>
  <si>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</si>
  <si>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</si>
  <si>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</si>
  <si>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</si>
  <si>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</si>
  <si>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</si>
  <si>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</si>
  <si>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</si>
  <si>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</si>
  <si>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</si>
  <si>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</si>
  <si>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</si>
  <si>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</si>
  <si>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</si>
  <si>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</si>
  <si>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</si>
  <si>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</si>
  <si>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</si>
  <si>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</si>
  <si>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</si>
  <si>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</si>
  <si>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</si>
  <si>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</si>
  <si>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</si>
  <si>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</si>
  <si>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</si>
  <si>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</si>
  <si>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</si>
  <si>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</si>
  <si>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</si>
  <si>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</si>
  <si>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</si>
  <si>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</si>
  <si>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</si>
  <si>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</si>
  <si>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</si>
  <si>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</si>
  <si>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</si>
  <si>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</si>
  <si>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</si>
  <si>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</si>
  <si>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</si>
  <si>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</si>
  <si>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</si>
  <si>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</si>
  <si>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</si>
  <si>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</si>
  <si>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</si>
  <si>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</si>
  <si>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</si>
  <si>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</si>
  <si>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</si>
  <si>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</si>
  <si>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</si>
  <si>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</si>
  <si>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</si>
  <si>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</si>
  <si>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</si>
  <si>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</si>
  <si>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</si>
  <si>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</si>
  <si>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</si>
  <si>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</si>
  <si>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</si>
  <si>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</si>
  <si>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</si>
  <si>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</si>
  <si>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</si>
  <si>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</si>
  <si>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</si>
  <si>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</si>
  <si>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</si>
  <si>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</si>
  <si>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</si>
  <si>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</si>
  <si>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</si>
  <si>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</si>
  <si>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</si>
  <si>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</si>
  <si>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</si>
  <si>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</si>
  <si>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</si>
  <si>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</si>
  <si>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</si>
  <si>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</si>
  <si>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</si>
  <si>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</si>
  <si>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</si>
  <si>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</si>
  <si>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</si>
  <si>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</si>
  <si>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</si>
  <si>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</si>
  <si>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</si>
  <si>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</si>
  <si>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</si>
  <si>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</si>
  <si>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</si>
  <si>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</si>
  <si>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</si>
  <si>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</si>
  <si>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</si>
  <si>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</si>
  <si>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</si>
  <si>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</si>
  <si>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</si>
  <si>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</si>
  <si>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</si>
  <si>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</si>
  <si>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</si>
  <si>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</si>
  <si>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</si>
  <si>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</si>
  <si>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</si>
  <si>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</si>
  <si>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</si>
  <si>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</si>
  <si>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</si>
  <si>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</si>
  <si>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</si>
  <si>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</si>
  <si>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</si>
  <si>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</si>
  <si>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</si>
  <si>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</si>
  <si>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</si>
  <si>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</si>
  <si>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</si>
  <si>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</si>
  <si>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</si>
  <si>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</si>
  <si>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</si>
  <si>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</si>
  <si>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</si>
  <si>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</si>
  <si>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</si>
  <si>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</si>
  <si>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</si>
  <si>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</si>
  <si>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</si>
  <si>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</si>
  <si>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</si>
  <si>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</si>
  <si>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</si>
  <si>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</si>
  <si>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</si>
  <si>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</si>
  <si>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</si>
  <si>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</si>
  <si>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</si>
  <si>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</si>
  <si>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</si>
  <si>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</si>
  <si>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</si>
  <si>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</si>
  <si>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</si>
  <si>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</si>
  <si>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</si>
  <si>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</si>
  <si>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</si>
  <si>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</si>
  <si>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</si>
  <si>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</si>
  <si>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</si>
  <si>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</si>
  <si>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</si>
  <si>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</si>
  <si>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</si>
  <si>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</si>
  <si>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</si>
  <si>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</si>
  <si>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</si>
  <si>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</si>
  <si>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</si>
  <si>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</si>
  <si>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</si>
  <si>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</si>
  <si>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</si>
  <si>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</si>
  <si>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</si>
  <si>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</si>
  <si>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</si>
  <si>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</si>
  <si>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</si>
  <si>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</si>
  <si>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</si>
  <si>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</si>
  <si>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</si>
  <si>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</si>
  <si>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5. Other adjustment (Overwrite)</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</si>
  <si>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</si>
  <si>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</si>
  <si>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</si>
  <si>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</si>
  <si>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</si>
  <si>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</si>
  <si>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</si>
  <si>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</si>
  <si>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</si>
  <si>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</si>
  <si>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</si>
  <si>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</si>
  <si>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</si>
  <si>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</si>
  <si>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</si>
  <si>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</si>
  <si>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</si>
  <si>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</si>
  <si>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</si>
  <si>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</si>
  <si>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</si>
  <si>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</si>
  <si>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</si>
  <si>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</si>
  <si>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</si>
  <si>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</si>
  <si>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</si>
  <si>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</si>
  <si>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</si>
  <si>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</si>
  <si>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</si>
  <si>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</si>
  <si>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</si>
  <si>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</si>
  <si>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</si>
  <si>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</si>
  <si>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</si>
  <si>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</si>
  <si>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</si>
  <si>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</si>
  <si>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</si>
  <si>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</si>
  <si>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</si>
  <si>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</si>
  <si>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</si>
  <si>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</si>
  <si>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</si>
  <si>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</si>
  <si>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</si>
  <si>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</si>
  <si>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</si>
  <si>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</si>
  <si>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</si>
  <si>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</si>
  <si>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</si>
  <si>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</si>
  <si>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</si>
  <si>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</si>
  <si>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</si>
  <si>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</si>
  <si>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</si>
  <si>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</si>
  <si>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</si>
  <si>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</si>
  <si>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</si>
  <si>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</si>
  <si>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</si>
  <si>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</si>
  <si>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</si>
  <si>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</si>
  <si>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</si>
  <si>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</si>
  <si>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</si>
  <si>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</si>
  <si>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</si>
  <si>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</si>
  <si>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</si>
  <si>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</si>
  <si>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</si>
  <si>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</si>
  <si>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</si>
  <si>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</si>
  <si>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</si>
  <si>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</si>
  <si>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</si>
  <si>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</si>
  <si>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</si>
  <si>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</si>
  <si>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</si>
  <si>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</si>
  <si>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</si>
  <si>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</si>
  <si>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</si>
  <si>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</si>
  <si>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</si>
  <si>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</si>
  <si>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</si>
  <si>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</si>
  <si>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</si>
  <si>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</si>
  <si>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</si>
  <si>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</si>
  <si>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</si>
  <si>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</si>
  <si>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</si>
  <si>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</si>
  <si>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</si>
  <si>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</si>
  <si>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</si>
  <si>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</si>
  <si>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</si>
  <si>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</si>
  <si>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</si>
  <si>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</si>
  <si>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</si>
  <si>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</si>
  <si>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</si>
  <si>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</si>
  <si>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</si>
  <si>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</si>
  <si>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</si>
  <si>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</si>
  <si>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</si>
  <si>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</si>
  <si>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</si>
  <si>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</si>
  <si>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</si>
  <si>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</si>
  <si>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</si>
  <si>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</si>
  <si>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</si>
  <si>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</si>
  <si>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</si>
  <si>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</si>
  <si>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</si>
  <si>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</si>
  <si>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</si>
  <si>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</si>
  <si>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</si>
  <si>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</si>
  <si>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</si>
  <si>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</si>
  <si>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</si>
  <si>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</si>
  <si>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</si>
  <si>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</si>
  <si>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</si>
  <si>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</si>
  <si>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</si>
  <si>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</si>
  <si>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</si>
  <si>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</si>
  <si>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</si>
  <si>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</si>
  <si>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</si>
  <si>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</si>
  <si>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</si>
  <si>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</si>
  <si>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</si>
  <si>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</si>
  <si>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</si>
  <si>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</si>
  <si>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</si>
  <si>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</si>
  <si>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</si>
  <si>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</si>
  <si>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</si>
  <si>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</si>
  <si>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</si>
  <si>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</si>
  <si>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</si>
  <si>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</si>
  <si>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</si>
  <si>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</si>
  <si>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</si>
  <si>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</si>
  <si>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</si>
  <si>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</si>
  <si>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</si>
  <si>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</si>
  <si>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</si>
  <si>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</si>
  <si>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</si>
  <si>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</si>
  <si>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</si>
  <si>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</si>
  <si>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</si>
  <si>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</si>
  <si>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</si>
  <si>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</si>
  <si>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</si>
  <si>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</si>
  <si>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</si>
  <si>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</si>
  <si>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</si>
  <si>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</si>
  <si>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</si>
  <si>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</si>
  <si>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</si>
  <si>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</si>
  <si>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</si>
  <si>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</si>
  <si>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</si>
  <si>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</si>
  <si>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</si>
  <si>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</si>
  <si>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</si>
  <si>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</si>
  <si>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</si>
  <si>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</si>
  <si>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</si>
  <si>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</si>
  <si>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</si>
  <si>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</si>
  <si>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</si>
  <si>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</si>
  <si>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</si>
  <si>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</si>
  <si>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</si>
  <si>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</si>
  <si>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</si>
  <si>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</si>
  <si>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</si>
  <si>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</si>
  <si>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</si>
  <si>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Changed the format of Column Q to be a RPI number to two decimal places, instead of a percentage</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</si>
  <si>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</si>
  <si>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</si>
  <si>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</si>
  <si>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</si>
  <si>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</si>
  <si>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</si>
  <si>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DPCR4 residual distribution losses incentive (WPD and SSE owned licencees)</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</si>
  <si>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</si>
  <si>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</si>
  <si>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</si>
  <si>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</si>
  <si>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</si>
  <si>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</si>
  <si>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</si>
  <si>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</si>
  <si>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</si>
  <si>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</si>
  <si>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</si>
  <si>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</si>
  <si>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</si>
  <si>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</si>
  <si>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</si>
  <si>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</si>
  <si>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</si>
  <si>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</si>
  <si>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</si>
  <si>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</si>
  <si>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SOLR and bad debt claims not in P&amp;L</t>
  </si>
  <si>
    <t>R3</t>
  </si>
  <si>
    <t>FRS101 adjustment - ARO</t>
  </si>
  <si>
    <t>IFRS16 Lease Interest Expense</t>
  </si>
  <si>
    <t>Interest capitalised</t>
  </si>
  <si>
    <t>Interest associated to Long term loans (Not for benefit of regulated business or distribution in nature)</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</si>
  <si>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</si>
  <si>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</si>
  <si>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</si>
  <si>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</si>
  <si>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Dividend paid not related to Regulated business per WPD methodology</t>
  </si>
  <si>
    <t>R13</t>
  </si>
  <si>
    <t>2.0</t>
  </si>
  <si>
    <t>Following updated guidance &amp; clarification within the RIIO Regulatory Financial Performance Reporting – Regulatory Instructions and Guidance Version 2.0, published on the 16th of June 2020, Guaranteed Standard (GS) payments reported on row 19 have been adjusted to exclude Ex-gratia payments.</t>
  </si>
  <si>
    <t>A licence change associated to supplier bad debt has resulted in a prior year adjustment to 2019. This adjustment has been added into cells G42/G53 to accurately reflect the licence change impact.</t>
  </si>
  <si>
    <t>Pensions prepayment (See Appendices within RFPR commentary documentation)</t>
  </si>
  <si>
    <t>Rail Electrification (See Appendices within RFRS commentary documentation)</t>
  </si>
  <si>
    <t>The 2019/20 SECV incentive reward is still to be assessed by Ofgem and therefore the 2020 Actuals has been forecast on the prior 3 year average.</t>
  </si>
  <si>
    <t>Item reported as Turnover in Reg Accounts, but excluded from Revenue Return</t>
  </si>
  <si>
    <t>RPI true up</t>
  </si>
  <si>
    <t>DPCR5 legacy revenue adjustment</t>
  </si>
  <si>
    <t>Revenue profiling adjustment</t>
  </si>
  <si>
    <t>Enduring value adjustments</t>
  </si>
  <si>
    <t>Appendix 2</t>
  </si>
  <si>
    <t>Metering equipment and services</t>
  </si>
  <si>
    <t>Directly Remunerated Services (excluding metering)</t>
  </si>
  <si>
    <t>General transfers between DNOs not in Regs</t>
  </si>
  <si>
    <t xml:space="preserve">Cells E24 and F24 have been updated to include the latest actual RPI data, as directed by Varun Venaik via an email dated 06/07/2020. 
Cells G39 TO J39 have been updated to include May 2020 HMT Forecasts for UK Economy - M3 New Forecasts RPI, as directed by Varun Venaik via an email dated 06/07/2020.
Cells K63, L63, K64 and L64 have been updated to reflect a revised allowed cost of debt forecast %, as directed by Varun Venaik via an email dated 20/07/2020. </t>
  </si>
  <si>
    <t>The pre-determined formula in cell D37, = ('R8 - Net Debt'!D54-AVERAGE('R8 - Net Debt'!D8,('R8 - Net Debt'!E10-'R8a - Net Debt input'!T18)))*(Data!C36-1),  has been corrected and updated to =('R8 - Net Debt'!D54-AVERAGE('R8 - Net Debt'!D8,('R8 - Net Debt'!D10-'R8a - Net Debt input'!T18)))*(Data!C36-1). This followed the identification of an error whereby the prior formula was using the wrong year’s closing Cash, short term deposits and overdrafts (per Balance Sheet) (2016/17 rather than 2015/16).  This was agreed by Varun Venaik via email dated 22/07/2020.</t>
  </si>
  <si>
    <t>May 2020 Publication</t>
  </si>
  <si>
    <t>TIM neutral and Smart meter adjustments to Totex allowance</t>
  </si>
  <si>
    <t>R4</t>
  </si>
  <si>
    <t>Row 13 has been updated to reflect allowances per the 2019 PCFM.</t>
  </si>
  <si>
    <t xml:space="preserve">Row 22 has been updated to reflect changes to the Pensions Prepayment Enduring Value adjustments, as a result of the pensions adjustments discussed above. See commentary for more details, and details of additional Enduring Value adjustments added and previous Enduring Value adjustments removed. </t>
  </si>
  <si>
    <t>Row 12 has been updated to reflect the latest Totex actuals in the 2019/20 RRP, including the impact of the pensions adjustments as discusssed above. See commentary for more details.</t>
  </si>
  <si>
    <t>Prior year adjustments to 2017, 2018 and 2019 have been made to pensions values, as highlighted to Ofgem and noted in email dated 23/07/2020. Further details can be found in the RFPR commentary. 
2017 = E35: -0.77, E36: +0.05 and +0.84. E54: -0.77, E55: +0.05
2018 = F35: +0.89, F36: -0.05 and -0.84. F54: +0.89, F55: -0.05
2019 = G35: -0.18, G36: +0.04. G54: -0.18</t>
  </si>
  <si>
    <t xml:space="preserve">Row 79 has been updated to reflect allowances per the 2019 PCFM. This has a consequent impact on rows 86 and 88 of table R10. </t>
  </si>
  <si>
    <t xml:space="preserve">Cell D8 has been updated to exclude restricted cash, as required in the updated RIGs. The same adjustment has been made in cell D47. </t>
  </si>
  <si>
    <t xml:space="preserve">Closing RAV in row 11 has been updated to the latest published PCFM, as per the RIGs. </t>
  </si>
  <si>
    <t xml:space="preserve">There has been a minor change to the names of the non-regulatory segments in cells B16 and B17 to reflect the segments defined by Ofgem for the Regulatory Accounts in previous years. </t>
  </si>
  <si>
    <t>R10</t>
  </si>
  <si>
    <t xml:space="preserve">Enduring Value adjustments in row 34 have been updated to reflect changes to Enduring Value adjustments in 2019/20. </t>
  </si>
  <si>
    <t>R12</t>
  </si>
  <si>
    <t xml:space="preserve">Prior year adjustments to 2017, 2018 and 2019 have been made to pensions values in cells E8:G8, E10:G10 and E11:G11, as highlighted to Ofgem and noted in email dated 23/07/2020. Further details can be found in the RFPR commentary. 
</t>
  </si>
  <si>
    <t xml:space="preserve">RAV additions in row 19 and RAV depreciation in row 22 have been updated to reflect RAV additions based on the 2019/20 RRP submission. Values in rows 20 and 23 have also been updated to reflect 2019/20 Enduring Value adjustments. </t>
  </si>
  <si>
    <t xml:space="preserve">Tax allowance per the latest PCFM in row 61 has been updated to the 2019 PCFM values. Forecast tax allowance in row 67 has been updated to reflect the 2019/20 RRP submission. This change is then reflected in Other adjustments in row 74. </t>
  </si>
  <si>
    <t xml:space="preserve">Costs per the latest RRP submission in row 49 have been updated to the 2019/20 RRP submission. </t>
  </si>
  <si>
    <t>Additional Totex adjustment not in Reg Accounts</t>
  </si>
  <si>
    <t xml:space="preserve">Updated to reflect RRP resubmission - see change log for details. </t>
  </si>
  <si>
    <t xml:space="preserve">As a result of the changes above following the WPD RRP C&amp;V file resubmission to Ofgem, this has resulted in RoRE performance movements in 2019/20 and across forecast years associated with the impact on the RAV balances as described above. </t>
  </si>
  <si>
    <t>RFPR cover</t>
  </si>
  <si>
    <t xml:space="preserve">Version and Submitted date in cells C8 and C9 updated respectively to reflect this is a resubmission. </t>
  </si>
  <si>
    <t>Content &amp; Version Control</t>
  </si>
  <si>
    <t xml:space="preserve">Date submitted and changes in cells C10 and C10 updated respectively to reflect this is a resubmission. </t>
  </si>
  <si>
    <t>Cells (text) and H44 (£0.5m) have been included and cell H49 has been updated (prev £396.6; now £397.1m) following a WPD RRP C&amp;V file resubmission to Ofgem which updated the cost allocation of Network Policy, a sub activity in table C9 Core CAI, between the four WPD DNOs. An additional reconciling item, "Additional Totex adjustment not in Reg Accounts", has therefore been added to reflect this in the Totex reconciliation.</t>
  </si>
  <si>
    <t>Cell H12 has been updated (from £245.5m to £246.0m) following a WPD RRP C&amp;V file resubmission to Ofgem which updated the cost allocation of Network Policy, a sub activity in table C9 Core CAI, between the four WPD DNOs. This has in turn updated the Totex out(under)performance for 2019/20 actuals.</t>
  </si>
  <si>
    <t xml:space="preserve">The value in cell H19  has been updated (from £199.3m to £199.4m) and I22:K22 (movement &lt; 1 d.p.) have been updated following a WPD RRP C&amp;V file resubmission to Ofgem which updated the cost allocation of Network Policy, a sub activity in table C9 Core CAI, between the four WPD DNOs. The RRP adjustment impacted Totex, which in turn impacts the RAV additions for 2019/20 and consequently depreciation for the following years. The impact of this will flow through to closing RAV and return calculations. </t>
  </si>
  <si>
    <t xml:space="preserve">As a result of the changes above following the WPD RRP C&amp;V file resubmission to Ofgem, the impact has flowed through to the forecast tax liability cell H37; forecast tax allowance cells H67:K67 and other adjustments cells H74:K74. Refreshing the tax workings as part of this process also resulted in a minor movement in cell J37 (cell H67 updated from £15.9m to £15.8m; other movements all &lt; 1 d.p.). </t>
  </si>
  <si>
    <t>NOT PUBLISHED</t>
  </si>
  <si>
    <t>OK</t>
  </si>
  <si>
    <t>Updated in 13/10/2010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</si>
</sst>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0">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 numFmtId="352" formatCode="[$-F800]dddd\,\ mmmm\ dd\,\ yyyy"/>
  </numFmts>
  <fonts count="262">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s>
  <fills count="133">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FFFF00"/>
        <bgColor indexed="64"/>
      </patternFill>
    </fill>
  </fills>
  <borders count="136">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2" fontId="4" fillId="0" borderId="0"/>
    <xf numFmtId="352" fontId="4" fillId="0" borderId="0"/>
    <xf numFmtId="352" fontId="7"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7" fillId="0" borderId="0"/>
    <xf numFmtId="352" fontId="4" fillId="0" borderId="0"/>
    <xf numFmtId="352" fontId="7" fillId="0" borderId="0"/>
    <xf numFmtId="352" fontId="4" fillId="0" borderId="0"/>
    <xf numFmtId="352" fontId="7"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lignment vertical="center"/>
    </xf>
    <xf numFmtId="352" fontId="7" fillId="0" borderId="0"/>
    <xf numFmtId="352" fontId="7" fillId="0" borderId="0"/>
    <xf numFmtId="352" fontId="7" fillId="0" borderId="0"/>
    <xf numFmtId="352" fontId="7" fillId="0" borderId="0"/>
    <xf numFmtId="352" fontId="4" fillId="0" borderId="0">
      <alignment vertical="center"/>
    </xf>
    <xf numFmtId="352" fontId="4" fillId="0" borderId="0">
      <alignment vertical="center"/>
    </xf>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7" fillId="0" borderId="0">
      <alignment vertical="justify"/>
    </xf>
    <xf numFmtId="352" fontId="13" fillId="30" borderId="0" applyNumberFormat="0" applyBorder="0" applyAlignment="0" applyProtection="0"/>
    <xf numFmtId="352" fontId="13" fillId="30"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7" borderId="0" applyNumberFormat="0" applyBorder="0" applyAlignment="0" applyProtection="0"/>
    <xf numFmtId="352" fontId="13" fillId="27" borderId="0" applyNumberFormat="0" applyBorder="0" applyAlignment="0" applyProtection="0"/>
    <xf numFmtId="352" fontId="13" fillId="119" borderId="0" applyNumberFormat="0" applyBorder="0" applyAlignment="0" applyProtection="0"/>
    <xf numFmtId="352" fontId="13" fillId="119" borderId="0" applyNumberFormat="0" applyBorder="0" applyAlignment="0" applyProtection="0"/>
    <xf numFmtId="352" fontId="13" fillId="30" borderId="0" applyNumberFormat="0" applyBorder="0" applyAlignment="0" applyProtection="0"/>
    <xf numFmtId="352" fontId="13" fillId="30"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13" fillId="61" borderId="0" applyNumberFormat="0" applyBorder="0" applyAlignment="0" applyProtection="0"/>
    <xf numFmtId="352" fontId="13" fillId="61"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6" borderId="0" applyNumberFormat="0" applyBorder="0" applyAlignment="0" applyProtection="0"/>
    <xf numFmtId="352" fontId="13" fillId="26" borderId="0" applyNumberFormat="0" applyBorder="0" applyAlignment="0" applyProtection="0"/>
    <xf numFmtId="352" fontId="13" fillId="120" borderId="0" applyNumberFormat="0" applyBorder="0" applyAlignment="0" applyProtection="0"/>
    <xf numFmtId="352" fontId="13" fillId="120" borderId="0" applyNumberFormat="0" applyBorder="0" applyAlignment="0" applyProtection="0"/>
    <xf numFmtId="352" fontId="13" fillId="31" borderId="0" applyNumberFormat="0" applyBorder="0" applyAlignment="0" applyProtection="0"/>
    <xf numFmtId="352" fontId="13" fillId="31"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19" borderId="0" applyNumberFormat="0" applyBorder="0" applyAlignment="0" applyProtection="0"/>
    <xf numFmtId="352" fontId="56" fillId="19" borderId="0" applyNumberFormat="0" applyBorder="0" applyAlignment="0" applyProtection="0"/>
    <xf numFmtId="352" fontId="56" fillId="26" borderId="0" applyNumberFormat="0" applyBorder="0" applyAlignment="0" applyProtection="0"/>
    <xf numFmtId="352" fontId="56" fillId="26" borderId="0" applyNumberFormat="0" applyBorder="0" applyAlignment="0" applyProtection="0"/>
    <xf numFmtId="352" fontId="56" fillId="120" borderId="0" applyNumberFormat="0" applyBorder="0" applyAlignment="0" applyProtection="0"/>
    <xf numFmtId="352" fontId="56" fillId="12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23" borderId="0" applyNumberFormat="0" applyBorder="0" applyAlignment="0" applyProtection="0"/>
    <xf numFmtId="352" fontId="56" fillId="23" borderId="0" applyNumberFormat="0" applyBorder="0" applyAlignment="0" applyProtection="0"/>
    <xf numFmtId="352" fontId="8" fillId="65" borderId="0" applyNumberFormat="0" applyBorder="0" applyAlignment="0" applyProtection="0"/>
    <xf numFmtId="352" fontId="8" fillId="12" borderId="0" applyNumberFormat="0" applyBorder="0" applyAlignment="0" applyProtection="0"/>
    <xf numFmtId="352" fontId="9" fillId="122" borderId="0" applyNumberFormat="0" applyBorder="0" applyAlignment="0" applyProtection="0"/>
    <xf numFmtId="352" fontId="9" fillId="66" borderId="0" applyNumberFormat="0" applyBorder="0" applyAlignment="0" applyProtection="0"/>
    <xf numFmtId="352" fontId="9" fillId="66" borderId="0" applyNumberFormat="0" applyBorder="0" applyAlignment="0" applyProtection="0"/>
    <xf numFmtId="352" fontId="8" fillId="68" borderId="0" applyNumberFormat="0" applyBorder="0" applyAlignment="0" applyProtection="0"/>
    <xf numFmtId="352" fontId="8" fillId="11" borderId="0" applyNumberFormat="0" applyBorder="0" applyAlignment="0" applyProtection="0"/>
    <xf numFmtId="352" fontId="9" fillId="8" borderId="0" applyNumberFormat="0" applyBorder="0" applyAlignment="0" applyProtection="0"/>
    <xf numFmtId="352" fontId="9" fillId="69" borderId="0" applyNumberFormat="0" applyBorder="0" applyAlignment="0" applyProtection="0"/>
    <xf numFmtId="352" fontId="9" fillId="69" borderId="0" applyNumberFormat="0" applyBorder="0" applyAlignment="0" applyProtection="0"/>
    <xf numFmtId="352" fontId="8" fillId="70" borderId="0" applyNumberFormat="0" applyBorder="0" applyAlignment="0" applyProtection="0"/>
    <xf numFmtId="352" fontId="8" fillId="71" borderId="0" applyNumberFormat="0" applyBorder="0" applyAlignment="0" applyProtection="0"/>
    <xf numFmtId="352" fontId="9" fillId="123" borderId="0" applyNumberFormat="0" applyBorder="0" applyAlignment="0" applyProtection="0"/>
    <xf numFmtId="352" fontId="9" fillId="124" borderId="0" applyNumberFormat="0" applyBorder="0" applyAlignment="0" applyProtection="0"/>
    <xf numFmtId="352" fontId="9" fillId="124" borderId="0" applyNumberFormat="0" applyBorder="0" applyAlignment="0" applyProtection="0"/>
    <xf numFmtId="352" fontId="8" fillId="68" borderId="0" applyNumberFormat="0" applyBorder="0" applyAlignment="0" applyProtection="0"/>
    <xf numFmtId="352" fontId="8" fillId="9" borderId="0" applyNumberFormat="0" applyBorder="0" applyAlignment="0" applyProtection="0"/>
    <xf numFmtId="352" fontId="9" fillId="11" borderId="0" applyNumberFormat="0" applyBorder="0" applyAlignment="0" applyProtection="0"/>
    <xf numFmtId="352" fontId="9" fillId="125" borderId="0" applyNumberFormat="0" applyBorder="0" applyAlignment="0" applyProtection="0"/>
    <xf numFmtId="352" fontId="9" fillId="125" borderId="0" applyNumberFormat="0" applyBorder="0" applyAlignment="0" applyProtection="0"/>
    <xf numFmtId="352" fontId="8" fillId="10" borderId="0" applyNumberFormat="0" applyBorder="0" applyAlignment="0" applyProtection="0"/>
    <xf numFmtId="352" fontId="8" fillId="5"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8" fillId="13" borderId="0" applyNumberFormat="0" applyBorder="0" applyAlignment="0" applyProtection="0"/>
    <xf numFmtId="352" fontId="8" fillId="14" borderId="0" applyNumberFormat="0" applyBorder="0" applyAlignment="0" applyProtection="0"/>
    <xf numFmtId="352" fontId="9" fillId="126" borderId="0" applyNumberFormat="0" applyBorder="0" applyAlignment="0" applyProtection="0"/>
    <xf numFmtId="352" fontId="9" fillId="127" borderId="0" applyNumberFormat="0" applyBorder="0" applyAlignment="0" applyProtection="0"/>
    <xf numFmtId="352" fontId="9" fillId="127" borderId="0" applyNumberFormat="0" applyBorder="0" applyAlignment="0" applyProtection="0"/>
    <xf numFmtId="352" fontId="247" fillId="13" borderId="0" applyNumberFormat="0" applyBorder="0" applyAlignment="0" applyProtection="0"/>
    <xf numFmtId="352" fontId="247" fillId="13" borderId="0" applyNumberFormat="0" applyBorder="0" applyAlignment="0" applyProtection="0"/>
    <xf numFmtId="352" fontId="248" fillId="128" borderId="123" applyNumberFormat="0" applyAlignment="0" applyProtection="0"/>
    <xf numFmtId="352" fontId="248" fillId="128" borderId="123" applyNumberFormat="0" applyAlignment="0" applyProtection="0"/>
    <xf numFmtId="352" fontId="85" fillId="125" borderId="19" applyNumberFormat="0" applyAlignment="0" applyProtection="0"/>
    <xf numFmtId="352" fontId="85" fillId="125" borderId="19" applyNumberFormat="0" applyAlignment="0" applyProtection="0"/>
    <xf numFmtId="37" fontId="59" fillId="0" borderId="94">
      <alignment horizontal="center"/>
    </xf>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10" fillId="129" borderId="0" applyNumberFormat="0" applyBorder="0" applyAlignment="0" applyProtection="0"/>
    <xf numFmtId="352" fontId="10" fillId="130" borderId="0" applyNumberFormat="0" applyBorder="0" applyAlignment="0" applyProtection="0"/>
    <xf numFmtId="352" fontId="10" fillId="17" borderId="0" applyNumberFormat="0" applyBorder="0" applyAlignment="0" applyProtection="0"/>
    <xf numFmtId="352" fontId="44" fillId="0" borderId="0" applyFont="0" applyFill="0" applyBorder="0" applyAlignment="0" applyProtection="0"/>
    <xf numFmtId="352" fontId="249" fillId="0" borderId="0" applyNumberFormat="0" applyFill="0" applyBorder="0" applyAlignment="0" applyProtection="0"/>
    <xf numFmtId="352" fontId="249" fillId="0" borderId="0" applyNumberFormat="0" applyFill="0" applyBorder="0" applyAlignment="0" applyProtection="0"/>
    <xf numFmtId="352" fontId="8" fillId="71" borderId="0" applyNumberFormat="0" applyBorder="0" applyAlignment="0" applyProtection="0"/>
    <xf numFmtId="352" fontId="8" fillId="71" borderId="0" applyNumberForma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117" fillId="0" borderId="33" applyNumberFormat="0" applyFill="0" applyAlignment="0" applyProtection="0"/>
    <xf numFmtId="352" fontId="117" fillId="0" borderId="33" applyNumberFormat="0" applyFill="0" applyAlignment="0" applyProtection="0"/>
    <xf numFmtId="352" fontId="120" fillId="0" borderId="124" applyNumberFormat="0" applyFill="0" applyAlignment="0" applyProtection="0"/>
    <xf numFmtId="352" fontId="120" fillId="0" borderId="124" applyNumberFormat="0" applyFill="0" applyAlignment="0" applyProtection="0"/>
    <xf numFmtId="352" fontId="123" fillId="0" borderId="125" applyNumberFormat="0" applyFill="0" applyAlignment="0" applyProtection="0"/>
    <xf numFmtId="352" fontId="123" fillId="0" borderId="125" applyNumberFormat="0" applyFill="0" applyAlignment="0" applyProtection="0"/>
    <xf numFmtId="352" fontId="123" fillId="0" borderId="0" applyNumberFormat="0" applyFill="0" applyBorder="0" applyAlignment="0" applyProtection="0"/>
    <xf numFmtId="352" fontId="123" fillId="0" borderId="0" applyNumberFormat="0" applyFill="0" applyBorder="0" applyAlignment="0" applyProtection="0"/>
    <xf numFmtId="352" fontId="137" fillId="14" borderId="123" applyNumberFormat="0" applyAlignment="0" applyProtection="0"/>
    <xf numFmtId="352" fontId="137" fillId="14" borderId="123" applyNumberFormat="0" applyAlignment="0" applyProtection="0"/>
    <xf numFmtId="352" fontId="140" fillId="34" borderId="0"/>
    <xf numFmtId="352" fontId="113" fillId="0" borderId="126" applyNumberFormat="0" applyFill="0" applyAlignment="0" applyProtection="0"/>
    <xf numFmtId="352" fontId="113" fillId="0" borderId="126" applyNumberFormat="0" applyFill="0" applyAlignment="0" applyProtection="0"/>
    <xf numFmtId="352" fontId="113" fillId="14" borderId="0" applyNumberFormat="0" applyBorder="0" applyAlignment="0" applyProtection="0"/>
    <xf numFmtId="352" fontId="113" fillId="14" borderId="0" applyNumberFormat="0" applyBorder="0" applyAlignment="0" applyProtection="0"/>
    <xf numFmtId="352" fontId="19" fillId="0" borderId="0"/>
    <xf numFmtId="352" fontId="19" fillId="0" borderId="0"/>
    <xf numFmtId="352" fontId="19" fillId="0" borderId="0"/>
    <xf numFmtId="352" fontId="19" fillId="0" borderId="0"/>
    <xf numFmtId="352" fontId="19" fillId="0" borderId="0"/>
    <xf numFmtId="352" fontId="4" fillId="0" borderId="0"/>
    <xf numFmtId="352" fontId="4" fillId="0" borderId="0"/>
    <xf numFmtId="352" fontId="4" fillId="0" borderId="0"/>
    <xf numFmtId="352" fontId="4" fillId="0" borderId="0"/>
    <xf numFmtId="0" fontId="2"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xf numFmtId="352" fontId="8" fillId="0" borderId="0" applyFill="0" applyBorder="0" applyAlignment="0" applyProtection="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2"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23" fillId="0" borderId="0"/>
    <xf numFmtId="352" fontId="1" fillId="0" borderId="0"/>
    <xf numFmtId="352" fontId="4"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1" fillId="0" borderId="0"/>
    <xf numFmtId="352" fontId="1" fillId="0" borderId="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8" fillId="0" borderId="0" applyFill="0" applyBorder="0" applyAlignment="0" applyProtection="0"/>
    <xf numFmtId="352" fontId="19"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7" fillId="0" borderId="0">
      <alignment vertical="top"/>
    </xf>
    <xf numFmtId="352" fontId="101" fillId="0" borderId="0" applyFill="0" applyBorder="0">
      <protection locked="0"/>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2" fontId="192" fillId="0" borderId="0"/>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30"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9" borderId="30">
      <alignment horizontal="right" vertical="center"/>
      <protection locked="0"/>
    </xf>
    <xf numFmtId="352"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3" borderId="53" applyNumberFormat="0">
      <protection locked="0"/>
    </xf>
    <xf numFmtId="352" fontId="4" fillId="33" borderId="30"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52" fontId="48" fillId="109" borderId="30"/>
    <xf numFmtId="4" fontId="254" fillId="33" borderId="123" applyNumberFormat="0" applyProtection="0">
      <alignment horizontal="right" vertical="center"/>
    </xf>
    <xf numFmtId="352" fontId="18" fillId="0" borderId="0" applyNumberFormat="0" applyFill="0" applyBorder="0" applyAlignment="0" applyProtection="0"/>
    <xf numFmtId="352" fontId="4" fillId="0" borderId="0" applyFont="0" applyFill="0" applyBorder="0" applyAlignment="0" applyProtection="0"/>
    <xf numFmtId="37" fontId="59" fillId="0" borderId="131" applyNumberFormat="0"/>
    <xf numFmtId="352" fontId="220" fillId="0" borderId="58" applyNumberFormat="0" applyAlignment="0" applyProtection="0"/>
    <xf numFmtId="352" fontId="18" fillId="0" borderId="0" applyNumberFormat="0" applyFill="0" applyBorder="0" applyAlignment="0" applyProtection="0"/>
    <xf numFmtId="352" fontId="18" fillId="0" borderId="0" applyNumberFormat="0" applyFill="0" applyBorder="0" applyAlignment="0" applyProtection="0"/>
    <xf numFmtId="210" fontId="59" fillId="0" borderId="32" applyFill="0"/>
    <xf numFmtId="352" fontId="10" fillId="0" borderId="132" applyNumberFormat="0" applyFill="0" applyAlignment="0" applyProtection="0"/>
    <xf numFmtId="352" fontId="10" fillId="0" borderId="132" applyNumberFormat="0" applyFill="0" applyAlignment="0" applyProtection="0"/>
    <xf numFmtId="352" fontId="255" fillId="0" borderId="0" applyNumberFormat="0" applyFill="0" applyBorder="0" applyAlignment="0" applyProtection="0"/>
    <xf numFmtId="352" fontId="255" fillId="0" borderId="0" applyNumberFormat="0" applyFill="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210" fontId="59" fillId="0" borderId="32" applyFill="0"/>
    <xf numFmtId="352" fontId="23"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3" fillId="0" borderId="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3" applyNumberFormat="0" applyProtection="0">
      <alignment horizontal="left" vertical="center" indent="1"/>
    </xf>
    <xf numFmtId="210" fontId="59" fillId="0" borderId="32" applyFill="0"/>
    <xf numFmtId="352" fontId="248" fillId="128" borderId="123" applyNumberFormat="0" applyAlignment="0" applyProtection="0"/>
    <xf numFmtId="352" fontId="248" fillId="128" borderId="123" applyNumberForma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164" fontId="2" fillId="0" borderId="0" applyFont="0" applyFill="0" applyBorder="0" applyAlignment="0" applyProtection="0"/>
    <xf numFmtId="352" fontId="48" fillId="30" borderId="128" applyNumberFormat="0" applyProtection="0">
      <alignment horizontal="left" vertical="top" indent="1"/>
    </xf>
    <xf numFmtId="164" fontId="1" fillId="0" borderId="0" applyFont="0" applyFill="0" applyBorder="0" applyAlignment="0" applyProtection="0"/>
    <xf numFmtId="352" fontId="88" fillId="31" borderId="130" applyBorder="0"/>
    <xf numFmtId="4" fontId="48" fillId="24" borderId="123" applyNumberFormat="0" applyProtection="0">
      <alignment horizontal="right" vertical="center"/>
    </xf>
    <xf numFmtId="352"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2" fontId="48" fillId="61" borderId="123" applyNumberFormat="0" applyProtection="0">
      <alignment horizontal="left" vertical="center" indent="1"/>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34" borderId="128" applyNumberFormat="0" applyProtection="0">
      <alignment vertical="center"/>
    </xf>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210" fontId="59" fillId="0" borderId="32" applyFill="0"/>
    <xf numFmtId="352" fontId="48" fillId="83" borderId="123" applyNumberFormat="0" applyProtection="0">
      <alignment horizontal="left" vertical="center" indent="1"/>
    </xf>
    <xf numFmtId="4" fontId="48" fillId="23" borderId="123" applyNumberFormat="0" applyProtection="0">
      <alignment horizontal="right" vertical="center"/>
    </xf>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164" fontId="8" fillId="0" borderId="0" applyFont="0" applyFill="0" applyBorder="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2"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2" fontId="48" fillId="30" borderId="128" applyNumberFormat="0" applyProtection="0">
      <alignment horizontal="left" vertical="top" indent="1"/>
    </xf>
    <xf numFmtId="352" fontId="252"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7" borderId="123" applyNumberFormat="0" applyProtection="0">
      <alignment horizontal="right" vertical="center"/>
    </xf>
    <xf numFmtId="352" fontId="48" fillId="19" borderId="128" applyNumberFormat="0" applyProtection="0">
      <alignment horizontal="left" vertical="top" indent="1"/>
    </xf>
    <xf numFmtId="164" fontId="7" fillId="0" borderId="0" applyFont="0" applyFill="0" applyBorder="0" applyAlignment="0" applyProtection="0"/>
    <xf numFmtId="352" fontId="48" fillId="19"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48" fillId="32" borderId="128" applyNumberFormat="0" applyProtection="0">
      <alignment horizontal="left" vertical="top" indent="1"/>
    </xf>
    <xf numFmtId="352" fontId="10" fillId="0" borderId="132" applyNumberFormat="0" applyFill="0" applyAlignment="0" applyProtection="0"/>
    <xf numFmtId="352" fontId="10" fillId="0" borderId="132" applyNumberFormat="0" applyFill="0" applyAlignment="0" applyProtection="0"/>
    <xf numFmtId="4" fontId="48" fillId="28" borderId="123" applyNumberFormat="0" applyProtection="0">
      <alignment horizontal="right" vertical="center"/>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251" fillId="18" borderId="128" applyNumberFormat="0" applyProtection="0">
      <alignment horizontal="left" vertical="top" indent="1"/>
    </xf>
    <xf numFmtId="352"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4" fontId="48" fillId="25"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2" fontId="179" fillId="128" borderId="127" applyNumberFormat="0" applyAlignment="0" applyProtection="0"/>
    <xf numFmtId="352" fontId="48" fillId="61" borderId="123" applyNumberFormat="0" applyProtection="0">
      <alignment horizontal="left" vertical="center" indent="1"/>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2" fontId="137" fillId="14" borderId="123" applyNumberFormat="0" applyAlignment="0" applyProtection="0"/>
    <xf numFmtId="352" fontId="48" fillId="61"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2" fontId="48" fillId="32" borderId="123" applyNumberFormat="0" applyProtection="0">
      <alignment horizontal="left" vertical="center" indent="1"/>
    </xf>
    <xf numFmtId="352" fontId="48" fillId="13" borderId="123" applyNumberFormat="0" applyFont="0" applyAlignment="0" applyProtection="0"/>
    <xf numFmtId="352" fontId="88" fillId="31" borderId="130" applyBorder="0"/>
    <xf numFmtId="352" fontId="10" fillId="0" borderId="132" applyNumberFormat="0" applyFill="0" applyAlignment="0" applyProtection="0"/>
    <xf numFmtId="164" fontId="7" fillId="0" borderId="0" applyFont="0" applyFill="0" applyBorder="0" applyAlignment="0" applyProtection="0"/>
    <xf numFmtId="352" fontId="248" fillId="128" borderId="123" applyNumberFormat="0" applyAlignment="0" applyProtection="0"/>
    <xf numFmtId="4" fontId="48" fillId="24" borderId="123" applyNumberFormat="0" applyProtection="0">
      <alignment horizontal="right" vertical="center"/>
    </xf>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252" fillId="19"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4" fontId="250" fillId="45" borderId="123" applyNumberFormat="0" applyProtection="0">
      <alignment vertical="center"/>
    </xf>
    <xf numFmtId="352" fontId="48" fillId="83" borderId="123" applyNumberFormat="0" applyProtection="0">
      <alignment horizontal="left" vertical="center" indent="1"/>
    </xf>
    <xf numFmtId="37" fontId="59" fillId="0" borderId="131" applyNumberFormat="0"/>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2"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2"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3" applyNumberFormat="0" applyProtection="0">
      <alignment horizontal="left" vertical="center"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2" fontId="4" fillId="19" borderId="128" applyNumberFormat="0" applyProtection="0">
      <alignment horizontal="left" vertical="top" indent="1"/>
    </xf>
    <xf numFmtId="352" fontId="137" fillId="14" borderId="123" applyNumberFormat="0" applyAlignment="0" applyProtection="0"/>
    <xf numFmtId="352" fontId="10" fillId="0" borderId="132" applyNumberFormat="0" applyFill="0" applyAlignment="0" applyProtection="0"/>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179" fillId="128" borderId="127" applyNumberFormat="0" applyAlignment="0" applyProtection="0"/>
    <xf numFmtId="4" fontId="252" fillId="34" borderId="128" applyNumberFormat="0" applyProtection="0">
      <alignment vertical="center"/>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352"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2" fontId="48" fillId="13" borderId="123" applyNumberFormat="0" applyFont="0" applyAlignment="0" applyProtection="0"/>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3" borderId="123" applyNumberFormat="0" applyFont="0" applyAlignment="0" applyProtection="0"/>
    <xf numFmtId="4" fontId="48" fillId="24" borderId="123" applyNumberFormat="0" applyProtection="0">
      <alignment horizontal="right" vertical="center"/>
    </xf>
    <xf numFmtId="352" fontId="48" fillId="32" borderId="128" applyNumberFormat="0" applyProtection="0">
      <alignment horizontal="left" vertical="top"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248" fillId="128" borderId="123" applyNumberFormat="0" applyAlignment="0" applyProtection="0"/>
    <xf numFmtId="4" fontId="252" fillId="61" borderId="128" applyNumberFormat="0" applyProtection="0">
      <alignment horizontal="left" vertical="center" indent="1"/>
    </xf>
    <xf numFmtId="352" fontId="10" fillId="0" borderId="132" applyNumberFormat="0" applyFill="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248" fillId="128" borderId="123" applyNumberFormat="0" applyAlignment="0" applyProtection="0"/>
    <xf numFmtId="4" fontId="254" fillId="33" borderId="123" applyNumberFormat="0" applyProtection="0">
      <alignment horizontal="right" vertical="center"/>
    </xf>
    <xf numFmtId="352" fontId="88" fillId="31" borderId="130" applyBorder="0"/>
    <xf numFmtId="352" fontId="48" fillId="13" borderId="123" applyNumberFormat="0" applyFont="0" applyAlignment="0" applyProtection="0"/>
    <xf numFmtId="4" fontId="48" fillId="64" borderId="123" applyNumberFormat="0" applyProtection="0">
      <alignment horizontal="left" vertical="center"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3" borderId="123" applyNumberFormat="0" applyFont="0" applyAlignment="0" applyProtection="0"/>
    <xf numFmtId="352" fontId="179" fillId="128" borderId="127" applyNumberFormat="0" applyAlignment="0" applyProtection="0"/>
    <xf numFmtId="4" fontId="48" fillId="20" borderId="123" applyNumberFormat="0" applyProtection="0">
      <alignment horizontal="right" vertical="center"/>
    </xf>
    <xf numFmtId="352" fontId="48" fillId="31" borderId="128" applyNumberFormat="0" applyProtection="0">
      <alignment horizontal="left" vertical="top" indent="1"/>
    </xf>
    <xf numFmtId="352" fontId="88" fillId="31" borderId="130" applyBorder="0"/>
    <xf numFmtId="4" fontId="48" fillId="28"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48" fillId="26" borderId="123" applyNumberFormat="0" applyProtection="0">
      <alignment horizontal="right" vertical="center"/>
    </xf>
    <xf numFmtId="352" fontId="48" fillId="32" borderId="128" applyNumberFormat="0" applyProtection="0">
      <alignment horizontal="left" vertical="top" indent="1"/>
    </xf>
    <xf numFmtId="352" fontId="4" fillId="32" borderId="128" applyNumberFormat="0" applyProtection="0">
      <alignment horizontal="left" vertical="center" indent="1"/>
    </xf>
    <xf numFmtId="4" fontId="48" fillId="0" borderId="123" applyNumberFormat="0" applyProtection="0">
      <alignment horizontal="right" vertical="center"/>
    </xf>
    <xf numFmtId="352" fontId="48" fillId="19" borderId="128" applyNumberFormat="0" applyProtection="0">
      <alignment horizontal="left" vertical="top" indent="1"/>
    </xf>
    <xf numFmtId="352" fontId="248" fillId="128" borderId="123" applyNumberFormat="0" applyAlignment="0" applyProtection="0"/>
    <xf numFmtId="352"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4" fillId="33"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352" fontId="248" fillId="128" borderId="123" applyNumberFormat="0" applyAlignment="0" applyProtection="0"/>
    <xf numFmtId="352" fontId="252" fillId="34" borderId="128" applyNumberFormat="0" applyProtection="0">
      <alignment horizontal="left" vertical="top" indent="1"/>
    </xf>
    <xf numFmtId="352" fontId="4" fillId="30" borderId="128" applyNumberFormat="0" applyProtection="0">
      <alignment horizontal="left" vertical="center" indent="1"/>
    </xf>
    <xf numFmtId="4" fontId="254" fillId="33" borderId="123" applyNumberFormat="0" applyProtection="0">
      <alignment horizontal="right" vertical="center"/>
    </xf>
    <xf numFmtId="352" fontId="48" fillId="30" borderId="123" applyNumberFormat="0" applyProtection="0">
      <alignment horizontal="left" vertical="center" indent="1"/>
    </xf>
    <xf numFmtId="352" fontId="48" fillId="83" borderId="123" applyNumberFormat="0" applyProtection="0">
      <alignment horizontal="left" vertical="center" indent="1"/>
    </xf>
    <xf numFmtId="4" fontId="48" fillId="20" borderId="123" applyNumberFormat="0" applyProtection="0">
      <alignment horizontal="right" vertical="center"/>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13" borderId="123" applyNumberFormat="0" applyFont="0" applyAlignment="0" applyProtection="0"/>
    <xf numFmtId="4" fontId="48" fillId="23" borderId="123" applyNumberFormat="0" applyProtection="0">
      <alignment horizontal="right" vertical="center"/>
    </xf>
    <xf numFmtId="352" fontId="48" fillId="32" borderId="123" applyNumberFormat="0" applyProtection="0">
      <alignment horizontal="left" vertical="center" indent="1"/>
    </xf>
    <xf numFmtId="352" fontId="48" fillId="30" borderId="128" applyNumberFormat="0" applyProtection="0">
      <alignment horizontal="left" vertical="top" indent="1"/>
    </xf>
    <xf numFmtId="4" fontId="48" fillId="19" borderId="123" applyNumberFormat="0" applyProtection="0">
      <alignment horizontal="right" vertical="center"/>
    </xf>
    <xf numFmtId="352" fontId="252" fillId="34"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248" fillId="128" borderId="123" applyNumberFormat="0" applyAlignment="0" applyProtection="0"/>
    <xf numFmtId="352" fontId="48" fillId="31" borderId="128" applyNumberFormat="0" applyProtection="0">
      <alignment horizontal="left" vertical="top" indent="1"/>
    </xf>
    <xf numFmtId="352"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2" fontId="48" fillId="13" borderId="123" applyNumberFormat="0" applyFont="0" applyAlignment="0" applyProtection="0"/>
    <xf numFmtId="352" fontId="48" fillId="31" borderId="128" applyNumberFormat="0" applyProtection="0">
      <alignment horizontal="left" vertical="top" indent="1"/>
    </xf>
    <xf numFmtId="4" fontId="48" fillId="20" borderId="123" applyNumberFormat="0" applyProtection="0">
      <alignment horizontal="right" vertical="center"/>
    </xf>
    <xf numFmtId="352" fontId="137" fillId="14" borderId="123" applyNumberFormat="0" applyAlignment="0" applyProtection="0"/>
    <xf numFmtId="4" fontId="250" fillId="50" borderId="123" applyNumberFormat="0" applyProtection="0">
      <alignment horizontal="right" vertical="center"/>
    </xf>
    <xf numFmtId="352" fontId="48" fillId="31" borderId="128" applyNumberFormat="0" applyProtection="0">
      <alignment horizontal="left" vertical="top" indent="1"/>
    </xf>
    <xf numFmtId="4" fontId="253" fillId="35" borderId="129"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30" borderId="129" applyNumberFormat="0" applyProtection="0">
      <alignment horizontal="left" vertical="center" indent="1"/>
    </xf>
    <xf numFmtId="352" fontId="252" fillId="34" borderId="128" applyNumberFormat="0" applyProtection="0">
      <alignment horizontal="left" vertical="top" indent="1"/>
    </xf>
    <xf numFmtId="352"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2" fontId="10" fillId="0" borderId="132" applyNumberFormat="0" applyFill="0" applyAlignment="0" applyProtection="0"/>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23" borderId="123" applyNumberFormat="0" applyProtection="0">
      <alignment horizontal="right" vertical="center"/>
    </xf>
    <xf numFmtId="352" fontId="48" fillId="83"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 fillId="30" borderId="128" applyNumberFormat="0" applyProtection="0">
      <alignment horizontal="left" vertical="center" indent="1"/>
    </xf>
    <xf numFmtId="352" fontId="248" fillId="128" borderId="123" applyNumberFormat="0" applyAlignment="0" applyProtection="0"/>
    <xf numFmtId="352" fontId="48" fillId="30" borderId="123" applyNumberFormat="0" applyProtection="0">
      <alignment horizontal="left" vertical="center" indent="1"/>
    </xf>
    <xf numFmtId="352" fontId="48" fillId="32" borderId="128" applyNumberFormat="0" applyProtection="0">
      <alignment horizontal="left" vertical="top" indent="1"/>
    </xf>
    <xf numFmtId="37" fontId="59" fillId="0" borderId="131" applyNumberFormat="0"/>
    <xf numFmtId="352"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2" fontId="48" fillId="13" borderId="123" applyNumberFormat="0" applyFont="0" applyAlignment="0" applyProtection="0"/>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center" indent="1"/>
    </xf>
    <xf numFmtId="352" fontId="48" fillId="19" borderId="128" applyNumberFormat="0" applyProtection="0">
      <alignment horizontal="left" vertical="top" indent="1"/>
    </xf>
    <xf numFmtId="352" fontId="248" fillId="128" borderId="123" applyNumberFormat="0" applyAlignment="0" applyProtection="0"/>
    <xf numFmtId="4" fontId="48" fillId="24" borderId="123" applyNumberFormat="0" applyProtection="0">
      <alignment horizontal="right" vertical="center"/>
    </xf>
    <xf numFmtId="210" fontId="59" fillId="0" borderId="32" applyFill="0"/>
    <xf numFmtId="352" fontId="48" fillId="13" borderId="123" applyNumberFormat="0" applyFont="0" applyAlignment="0" applyProtection="0"/>
    <xf numFmtId="352" fontId="252" fillId="34" borderId="128" applyNumberFormat="0" applyProtection="0">
      <alignment horizontal="left" vertical="top" indent="1"/>
    </xf>
    <xf numFmtId="4" fontId="252" fillId="34" borderId="128" applyNumberFormat="0" applyProtection="0">
      <alignment vertical="center"/>
    </xf>
    <xf numFmtId="352" fontId="48" fillId="13" borderId="123" applyNumberFormat="0" applyFont="0" applyAlignment="0" applyProtection="0"/>
    <xf numFmtId="352" fontId="48" fillId="13" borderId="123" applyNumberFormat="0" applyFont="0" applyAlignment="0" applyProtection="0"/>
    <xf numFmtId="352"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137" fillId="14" borderId="123" applyNumberFormat="0" applyAlignment="0" applyProtection="0"/>
    <xf numFmtId="37" fontId="59" fillId="0" borderId="131" applyNumberFormat="0"/>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29" borderId="129" applyNumberFormat="0" applyProtection="0">
      <alignment horizontal="left" vertical="center" indent="1"/>
    </xf>
    <xf numFmtId="352"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2" fontId="48" fillId="30" borderId="128" applyNumberFormat="0" applyProtection="0">
      <alignment horizontal="left" vertical="top" indent="1"/>
    </xf>
    <xf numFmtId="4" fontId="252" fillId="61" borderId="128" applyNumberFormat="0" applyProtection="0">
      <alignment horizontal="left" vertical="center" indent="1"/>
    </xf>
    <xf numFmtId="352" fontId="4" fillId="30" borderId="128" applyNumberFormat="0" applyProtection="0">
      <alignment horizontal="left" vertical="center" indent="1"/>
    </xf>
    <xf numFmtId="4" fontId="48" fillId="64" borderId="123" applyNumberFormat="0" applyProtection="0">
      <alignment horizontal="left" vertical="center" indent="1"/>
    </xf>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210" fontId="59" fillId="0" borderId="32" applyFill="0"/>
    <xf numFmtId="352" fontId="48" fillId="32" borderId="128" applyNumberFormat="0" applyProtection="0">
      <alignment horizontal="left" vertical="top" indent="1"/>
    </xf>
    <xf numFmtId="4" fontId="48" fillId="19"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179" fillId="128" borderId="127" applyNumberFormat="0" applyAlignment="0" applyProtection="0"/>
    <xf numFmtId="352" fontId="48" fillId="61" borderId="123"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27" borderId="123" applyNumberFormat="0" applyProtection="0">
      <alignment horizontal="right" vertical="center"/>
    </xf>
    <xf numFmtId="352" fontId="251" fillId="18" borderId="128" applyNumberFormat="0" applyProtection="0">
      <alignment horizontal="left" vertical="top"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10" fillId="0" borderId="132" applyNumberFormat="0" applyFill="0" applyAlignment="0" applyProtection="0"/>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210" fontId="59" fillId="0" borderId="32" applyFill="0"/>
    <xf numFmtId="352"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 fillId="32" borderId="128" applyNumberFormat="0" applyProtection="0">
      <alignment horizontal="left" vertical="top" indent="1"/>
    </xf>
    <xf numFmtId="352" fontId="137" fillId="14" borderId="123" applyNumberFormat="0" applyAlignment="0" applyProtection="0"/>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4" fontId="48" fillId="131" borderId="123" applyNumberFormat="0" applyProtection="0">
      <alignment horizontal="right" vertical="center"/>
    </xf>
    <xf numFmtId="352" fontId="48" fillId="30" borderId="128" applyNumberFormat="0" applyProtection="0">
      <alignment horizontal="left" vertical="top" indent="1"/>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48" fillId="0" borderId="123" applyNumberFormat="0" applyProtection="0">
      <alignment horizontal="right" vertical="center"/>
    </xf>
    <xf numFmtId="352" fontId="4" fillId="32" borderId="128" applyNumberFormat="0" applyProtection="0">
      <alignment horizontal="left" vertical="top" indent="1"/>
    </xf>
    <xf numFmtId="37" fontId="59" fillId="0" borderId="131" applyNumberFormat="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2" fontId="248" fillId="128" borderId="123" applyNumberFormat="0" applyAlignment="0" applyProtection="0"/>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0" borderId="123" applyNumberFormat="0" applyProtection="0">
      <alignment horizontal="right" vertical="center"/>
    </xf>
    <xf numFmtId="352"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2" fontId="48" fillId="30" borderId="128" applyNumberFormat="0" applyProtection="0">
      <alignment horizontal="left" vertical="top" indent="1"/>
    </xf>
    <xf numFmtId="352" fontId="48" fillId="31"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4" fontId="48" fillId="64" borderId="123" applyNumberFormat="0" applyProtection="0">
      <alignment horizontal="left" vertical="center" indent="1"/>
    </xf>
    <xf numFmtId="352" fontId="48" fillId="30" borderId="128" applyNumberFormat="0" applyProtection="0">
      <alignment horizontal="left" vertical="top" indent="1"/>
    </xf>
    <xf numFmtId="352" fontId="48" fillId="19"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164" fontId="7" fillId="0" borderId="0" applyFont="0" applyFill="0" applyBorder="0" applyAlignment="0" applyProtection="0"/>
    <xf numFmtId="352"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 fillId="31" borderId="128" applyNumberFormat="0" applyProtection="0">
      <alignment horizontal="left" vertical="top" indent="1"/>
    </xf>
    <xf numFmtId="352" fontId="48" fillId="32" borderId="128" applyNumberFormat="0" applyProtection="0">
      <alignment horizontal="left" vertical="top" indent="1"/>
    </xf>
    <xf numFmtId="352" fontId="48" fillId="32" borderId="123"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2"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2" fontId="48" fillId="19" borderId="128" applyNumberFormat="0" applyProtection="0">
      <alignment horizontal="left" vertical="top" indent="1"/>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2" fontId="48" fillId="13" borderId="123" applyNumberFormat="0" applyFont="0" applyAlignment="0" applyProtection="0"/>
    <xf numFmtId="352" fontId="248" fillId="128" borderId="123" applyNumberFormat="0" applyAlignment="0" applyProtection="0"/>
    <xf numFmtId="4" fontId="48" fillId="131" borderId="123" applyNumberFormat="0" applyProtection="0">
      <alignment horizontal="right" vertical="center"/>
    </xf>
    <xf numFmtId="352" fontId="48" fillId="13" borderId="123" applyNumberFormat="0" applyFont="0" applyAlignment="0" applyProtection="0"/>
    <xf numFmtId="352"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10" fillId="0" borderId="132" applyNumberFormat="0" applyFill="0" applyAlignment="0" applyProtection="0"/>
    <xf numFmtId="352" fontId="48" fillId="32" borderId="128" applyNumberFormat="0" applyProtection="0">
      <alignment horizontal="left" vertical="top" indent="1"/>
    </xf>
    <xf numFmtId="352" fontId="248" fillId="128" borderId="123" applyNumberFormat="0" applyAlignment="0" applyProtection="0"/>
    <xf numFmtId="4" fontId="48" fillId="0" borderId="123" applyNumberFormat="0" applyProtection="0">
      <alignment horizontal="right" vertical="center"/>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 fillId="31" borderId="128" applyNumberFormat="0" applyProtection="0">
      <alignment horizontal="left" vertical="top" indent="1"/>
    </xf>
    <xf numFmtId="4" fontId="48" fillId="28" borderId="123" applyNumberFormat="0" applyProtection="0">
      <alignment horizontal="right" vertical="center"/>
    </xf>
    <xf numFmtId="352" fontId="251" fillId="18" borderId="128" applyNumberFormat="0" applyProtection="0">
      <alignment horizontal="left" vertical="top" indent="1"/>
    </xf>
    <xf numFmtId="352" fontId="88" fillId="31" borderId="130" applyBorder="0"/>
    <xf numFmtId="352" fontId="48" fillId="32" borderId="123" applyNumberFormat="0" applyProtection="0">
      <alignment horizontal="left" vertical="center" indent="1"/>
    </xf>
    <xf numFmtId="352" fontId="137" fillId="14" borderId="123" applyNumberFormat="0" applyAlignment="0" applyProtection="0"/>
    <xf numFmtId="4" fontId="252" fillId="61" borderId="128" applyNumberFormat="0" applyProtection="0">
      <alignment horizontal="left" vertical="center" indent="1"/>
    </xf>
    <xf numFmtId="352" fontId="48" fillId="13" borderId="123" applyNumberFormat="0" applyFont="0" applyAlignment="0" applyProtection="0"/>
    <xf numFmtId="352"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10" fillId="0" borderId="132" applyNumberFormat="0" applyFill="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252" fillId="34" borderId="128" applyNumberFormat="0" applyProtection="0">
      <alignment horizontal="left" vertical="top" indent="1"/>
    </xf>
    <xf numFmtId="352" fontId="48" fillId="32" borderId="128" applyNumberFormat="0" applyProtection="0">
      <alignment horizontal="left" vertical="top" indent="1"/>
    </xf>
    <xf numFmtId="352" fontId="252" fillId="19" borderId="128" applyNumberFormat="0" applyProtection="0">
      <alignment horizontal="left" vertical="top" indent="1"/>
    </xf>
    <xf numFmtId="352" fontId="88" fillId="31" borderId="130" applyBorder="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2" fontId="4" fillId="31" borderId="128" applyNumberFormat="0" applyProtection="0">
      <alignment horizontal="left" vertical="center" indent="1"/>
    </xf>
    <xf numFmtId="352" fontId="48" fillId="32"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4" fontId="48" fillId="18" borderId="123" applyNumberFormat="0" applyProtection="0">
      <alignment vertical="center"/>
    </xf>
    <xf numFmtId="352" fontId="4" fillId="31" borderId="128" applyNumberFormat="0" applyProtection="0">
      <alignment horizontal="left" vertical="center" indent="1"/>
    </xf>
    <xf numFmtId="352" fontId="48" fillId="30"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25" borderId="123" applyNumberFormat="0" applyProtection="0">
      <alignment horizontal="right" vertical="center"/>
    </xf>
    <xf numFmtId="352"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0" fillId="50" borderId="123" applyNumberFormat="0" applyProtection="0">
      <alignment horizontal="right" vertical="center"/>
    </xf>
    <xf numFmtId="352" fontId="10" fillId="0" borderId="132" applyNumberFormat="0" applyFill="0" applyAlignment="0" applyProtection="0"/>
    <xf numFmtId="4" fontId="252" fillId="34" borderId="128" applyNumberFormat="0" applyProtection="0">
      <alignment vertical="center"/>
    </xf>
    <xf numFmtId="352" fontId="48" fillId="30" borderId="128" applyNumberFormat="0" applyProtection="0">
      <alignment horizontal="left" vertical="top" indent="1"/>
    </xf>
    <xf numFmtId="352" fontId="88" fillId="31" borderId="130" applyBorder="0"/>
    <xf numFmtId="4" fontId="48" fillId="0" borderId="123" applyNumberFormat="0" applyProtection="0">
      <alignment horizontal="right" vertical="center"/>
    </xf>
    <xf numFmtId="352" fontId="48" fillId="30" borderId="128" applyNumberFormat="0" applyProtection="0">
      <alignment horizontal="left" vertical="top" indent="1"/>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352" fontId="137" fillId="14" borderId="123" applyNumberFormat="0" applyAlignment="0" applyProtection="0"/>
    <xf numFmtId="352" fontId="48" fillId="32" borderId="128" applyNumberFormat="0" applyProtection="0">
      <alignment horizontal="left" vertical="top" indent="1"/>
    </xf>
    <xf numFmtId="352" fontId="137" fillId="14" borderId="123" applyNumberFormat="0" applyAlignment="0" applyProtection="0"/>
    <xf numFmtId="352" fontId="48" fillId="83" borderId="123" applyNumberFormat="0" applyProtection="0">
      <alignment horizontal="left" vertical="center"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88" fillId="31" borderId="130" applyBorder="0"/>
    <xf numFmtId="4" fontId="48" fillId="22" borderId="129" applyNumberFormat="0" applyProtection="0">
      <alignment horizontal="right" vertical="center"/>
    </xf>
    <xf numFmtId="352" fontId="48" fillId="30" borderId="128" applyNumberFormat="0" applyProtection="0">
      <alignment horizontal="left" vertical="top" indent="1"/>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250" fillId="50"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2" fontId="48" fillId="19" borderId="128" applyNumberFormat="0" applyProtection="0">
      <alignment horizontal="left" vertical="top"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 fillId="32" borderId="128"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4" fontId="250" fillId="50" borderId="123" applyNumberFormat="0" applyProtection="0">
      <alignment horizontal="right" vertical="center"/>
    </xf>
    <xf numFmtId="352" fontId="4" fillId="30" borderId="128" applyNumberFormat="0" applyProtection="0">
      <alignment horizontal="left" vertical="top" indent="1"/>
    </xf>
    <xf numFmtId="352"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2" fontId="10" fillId="0" borderId="132" applyNumberFormat="0" applyFill="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252" fillId="34" borderId="128" applyNumberFormat="0" applyProtection="0">
      <alignment horizontal="left" vertical="top" indent="1"/>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2"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13" borderId="123" applyNumberFormat="0" applyFont="0" applyAlignment="0" applyProtection="0"/>
    <xf numFmtId="210" fontId="59" fillId="0" borderId="32" applyFill="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0" borderId="128" applyNumberFormat="0" applyProtection="0">
      <alignment horizontal="left" vertical="top" indent="1"/>
    </xf>
    <xf numFmtId="4" fontId="4" fillId="31" borderId="129" applyNumberFormat="0" applyProtection="0">
      <alignment horizontal="left" vertical="center" indent="1"/>
    </xf>
    <xf numFmtId="352" fontId="4" fillId="31" borderId="128" applyNumberFormat="0" applyProtection="0">
      <alignment horizontal="left" vertical="top" indent="1"/>
    </xf>
    <xf numFmtId="4" fontId="48" fillId="22" borderId="129" applyNumberFormat="0" applyProtection="0">
      <alignment horizontal="right" vertical="center"/>
    </xf>
    <xf numFmtId="352" fontId="48" fillId="61" borderId="123" applyNumberFormat="0" applyProtection="0">
      <alignment horizontal="left" vertical="center" indent="1"/>
    </xf>
    <xf numFmtId="4" fontId="48" fillId="45"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251" fillId="18" borderId="128" applyNumberFormat="0" applyProtection="0">
      <alignment horizontal="left" vertical="top" indent="1"/>
    </xf>
    <xf numFmtId="352" fontId="48" fillId="13" borderId="123" applyNumberFormat="0" applyFont="0" applyAlignment="0" applyProtection="0"/>
    <xf numFmtId="352"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2" fontId="248" fillId="128" borderId="123" applyNumberFormat="0" applyAlignment="0" applyProtection="0"/>
    <xf numFmtId="4" fontId="250" fillId="50" borderId="123" applyNumberFormat="0" applyProtection="0">
      <alignment horizontal="right" vertical="center"/>
    </xf>
    <xf numFmtId="352" fontId="137" fillId="14" borderId="123" applyNumberFormat="0" applyAlignment="0" applyProtection="0"/>
    <xf numFmtId="164" fontId="7" fillId="0" borderId="0" applyFont="0" applyFill="0" applyBorder="0" applyAlignment="0" applyProtection="0"/>
    <xf numFmtId="352" fontId="248" fillId="128" borderId="123" applyNumberFormat="0" applyAlignment="0" applyProtection="0"/>
    <xf numFmtId="4" fontId="48" fillId="45" borderId="123" applyNumberFormat="0" applyProtection="0">
      <alignment horizontal="left" vertical="center" indent="1"/>
    </xf>
    <xf numFmtId="352"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19">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173" fontId="5" fillId="52"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3" borderId="77" xfId="2" applyNumberFormat="1" applyFont="1" applyFill="1" applyBorder="1"/>
    <xf numFmtId="172" fontId="5" fillId="3" borderId="78"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5" fillId="3" borderId="70" xfId="2" applyNumberFormat="1" applyFont="1" applyFill="1" applyBorder="1"/>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0"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170" fontId="5" fillId="36" borderId="77" xfId="77" applyNumberFormat="1" applyFont="1" applyFill="1" applyBorder="1" applyAlignment="1" applyProtection="1">
      <alignment vertical="center"/>
    </xf>
    <xf numFmtId="170" fontId="5" fillId="36" borderId="78" xfId="77" applyNumberFormat="1" applyFont="1" applyFill="1" applyBorder="1" applyAlignment="1" applyProtection="1">
      <alignment vertical="center"/>
    </xf>
    <xf numFmtId="349" fontId="5" fillId="38" borderId="77" xfId="77" applyNumberFormat="1" applyFont="1" applyFill="1" applyBorder="1" applyProtection="1"/>
    <xf numFmtId="349"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0" fontId="0" fillId="3" borderId="0" xfId="0" applyFont="1" applyFill="1" applyAlignment="1">
      <alignment horizontal="left" vertical="top" indent="1"/>
    </xf>
    <xf numFmtId="0" fontId="0" fillId="42" borderId="67" xfId="0" quotePrefix="1" applyFill="1" applyBorder="1" applyAlignment="1">
      <alignment horizontal="left" vertical="center" wrapText="1" indent="1"/>
    </xf>
    <xf numFmtId="0" fontId="0" fillId="3" borderId="0" xfId="0" applyFont="1" applyFill="1" applyAlignment="1">
      <alignment horizontal="left" vertical="top" indent="1"/>
    </xf>
    <xf numFmtId="172" fontId="0" fillId="0" borderId="0" xfId="0" applyNumberFormat="1" applyAlignment="1">
      <alignment horizontal="left" vertical="top"/>
    </xf>
    <xf numFmtId="14" fontId="5" fillId="3" borderId="135" xfId="2" applyNumberFormat="1" applyFont="1" applyFill="1" applyBorder="1"/>
    <xf numFmtId="0" fontId="5" fillId="3" borderId="135" xfId="2" applyNumberFormat="1" applyFont="1" applyFill="1" applyBorder="1" applyAlignment="1">
      <alignment horizontal="center" vertical="center"/>
    </xf>
    <xf numFmtId="172" fontId="5" fillId="3" borderId="135" xfId="2" applyNumberFormat="1" applyFont="1" applyFill="1" applyBorder="1"/>
    <xf numFmtId="0" fontId="0" fillId="3" borderId="0" xfId="0" applyFont="1" applyFill="1" applyAlignment="1">
      <alignment horizontal="left" vertical="top" indent="1"/>
    </xf>
    <xf numFmtId="43" fontId="0" fillId="0" borderId="0" xfId="0" applyNumberFormat="1" applyAlignment="1">
      <alignment horizontal="left" vertical="top"/>
    </xf>
    <xf numFmtId="178" fontId="0" fillId="0" borderId="0" xfId="0" applyNumberFormat="1"/>
    <xf numFmtId="1" fontId="0" fillId="0" borderId="0" xfId="0" applyNumberFormat="1"/>
    <xf numFmtId="173" fontId="0" fillId="52" borderId="64" xfId="0" applyNumberFormat="1" applyFill="1" applyBorder="1" applyAlignment="1">
      <alignment horizontal="right" vertical="top"/>
    </xf>
    <xf numFmtId="0" fontId="0" fillId="132" borderId="68" xfId="0" applyFill="1" applyBorder="1" applyAlignment="1">
      <alignment horizontal="left" vertical="top" wrapText="1"/>
    </xf>
    <xf numFmtId="0" fontId="0" fillId="132" borderId="0" xfId="0" applyFont="1" applyFill="1" applyAlignment="1">
      <alignment horizontal="left" vertical="top" indent="1"/>
    </xf>
    <xf numFmtId="172" fontId="0" fillId="132" borderId="68" xfId="0" applyNumberFormat="1" applyFill="1" applyBorder="1" applyAlignment="1">
      <alignment horizontal="right" vertical="top"/>
    </xf>
    <xf numFmtId="165" fontId="5" fillId="132" borderId="65" xfId="2" applyNumberFormat="1" applyFont="1" applyFill="1" applyBorder="1" applyAlignment="1">
      <alignment vertical="center"/>
    </xf>
    <xf numFmtId="0" fontId="5" fillId="0" borderId="135" xfId="7" applyFont="1" applyBorder="1" applyAlignment="1">
      <alignment horizontal="left" indent="1"/>
    </xf>
    <xf numFmtId="172" fontId="0" fillId="132" borderId="65" xfId="0" applyNumberFormat="1" applyFill="1" applyBorder="1" applyAlignment="1">
      <alignment horizontal="right" vertical="top"/>
    </xf>
    <xf numFmtId="351" fontId="0" fillId="0" borderId="0" xfId="0" applyNumberFormat="1" applyFill="1" applyAlignment="1">
      <alignment horizontal="center" vertical="top"/>
    </xf>
    <xf numFmtId="172" fontId="5" fillId="132" borderId="68" xfId="2" applyNumberFormat="1" applyFont="1" applyFill="1" applyBorder="1"/>
    <xf numFmtId="172" fontId="5" fillId="132" borderId="69" xfId="2" applyNumberFormat="1" applyFont="1" applyFill="1" applyBorder="1"/>
    <xf numFmtId="172" fontId="0" fillId="132" borderId="77" xfId="0" applyNumberFormat="1" applyFill="1" applyBorder="1" applyAlignment="1">
      <alignment horizontal="right" vertical="top"/>
    </xf>
    <xf numFmtId="172" fontId="5" fillId="132" borderId="64" xfId="2" applyNumberFormat="1" applyFont="1" applyFill="1" applyBorder="1"/>
    <xf numFmtId="172" fontId="5" fillId="132" borderId="70" xfId="2" applyNumberFormat="1" applyFont="1" applyFill="1" applyBorder="1"/>
    <xf numFmtId="0" fontId="0" fillId="132" borderId="68" xfId="0" applyFill="1" applyBorder="1" applyAlignment="1">
      <alignment horizontal="left" vertical="top" wrapText="1" indent="1"/>
    </xf>
    <xf numFmtId="0" fontId="5" fillId="132" borderId="135" xfId="75" applyNumberFormat="1" applyFont="1" applyFill="1" applyBorder="1" applyAlignment="1" applyProtection="1">
      <alignment vertical="center"/>
    </xf>
    <xf numFmtId="175" fontId="5" fillId="132" borderId="135" xfId="75" applyNumberFormat="1" applyFont="1" applyFill="1" applyBorder="1" applyAlignment="1" applyProtection="1">
      <alignment vertical="center"/>
    </xf>
    <xf numFmtId="175" fontId="5" fillId="132" borderId="135" xfId="75" applyNumberFormat="1" applyFont="1" applyFill="1" applyBorder="1" applyProtection="1"/>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3" fontId="0" fillId="0" borderId="10" xfId="0" applyNumberFormat="1"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3" borderId="112" xfId="0" applyFill="1" applyBorder="1" applyAlignment="1">
      <alignment horizontal="left" vertical="center" wrapText="1" indent="1"/>
    </xf>
    <xf numFmtId="0" fontId="0" fillId="3" borderId="89" xfId="0" applyFill="1" applyBorder="1" applyAlignment="1">
      <alignment horizontal="left" vertical="center" wrapText="1" indent="1"/>
    </xf>
    <xf numFmtId="0" fontId="0" fillId="3" borderId="107" xfId="0" applyFill="1" applyBorder="1" applyAlignment="1">
      <alignment horizontal="left" vertical="center" wrapText="1" indent="1"/>
    </xf>
    <xf numFmtId="0" fontId="0" fillId="0" borderId="10"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0" borderId="30" xfId="0" applyBorder="1" applyAlignment="1">
      <alignment horizontal="center"/>
    </xf>
    <xf numFmtId="0" fontId="29" fillId="0" borderId="30"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53" borderId="0" xfId="0" applyFill="1" applyAlignment="1">
      <alignment horizontal="left" wrapText="1"/>
    </xf>
    <xf numFmtId="3" fontId="0" fillId="0" borderId="11" xfId="0" applyNumberFormat="1" applyBorder="1" applyAlignment="1">
      <alignment horizontal="center" vertical="center" wrapTex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5" fillId="132" borderId="135" xfId="75" applyNumberFormat="1" applyFont="1" applyFill="1" applyBorder="1" applyAlignment="1" applyProtection="1">
      <alignment horizontal="left" vertical="top" wrapText="1"/>
    </xf>
    <xf numFmtId="0" fontId="0" fillId="132" borderId="135" xfId="0" applyFill="1" applyBorder="1" applyAlignment="1">
      <alignment horizontal="left" vertical="top" wrapText="1"/>
    </xf>
    <xf numFmtId="0" fontId="0" fillId="0" borderId="0" xfId="0" applyAlignment="1">
      <alignment horizontal="center"/>
    </xf>
    <xf numFmtId="0" fontId="0" fillId="3" borderId="0" xfId="0" applyFont="1" applyFill="1" applyAlignment="1">
      <alignment horizontal="left" vertical="top"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92">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 Id="rId30"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886552/Forecomp_May_2020.pdf" TargetMode="External"/><Relationship Id="rId1" Type="http://schemas.openxmlformats.org/officeDocument/2006/relationships/hyperlink" Target="https://www.gov.uk/government/statistics/forecasts-for-the-uk-economy-august-20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zoomScaleSheetLayoutView="90" workbookViewId="0">
      <pane ySplit="3" topLeftCell="A4" activePane="bottomLeft" state="frozen"/>
      <selection activeCell="B75" sqref="A1:XFD1048576"/>
      <selection pane="bottomLeft" activeCell="B30" sqref="B30"/>
    </sheetView>
  </sheetViews>
  <sheetFormatPr defaultRowHeight="12.6"/>
  <cols>
    <col min="1" max="1" width="8.36328125" customWidth="1"/>
    <col min="2" max="2" width="27.08984375" customWidth="1"/>
    <col min="3" max="6" width="14.08984375" customWidth="1"/>
    <col min="7" max="7" width="14.08984375" style="212" customWidth="1"/>
    <col min="8" max="11" width="14.08984375" customWidth="1"/>
  </cols>
  <sheetData>
    <row r="1" spans="1:11" s="31" customFormat="1" ht="21">
      <c r="A1" s="900" t="s">
        <v>307</v>
      </c>
      <c r="B1" s="901"/>
      <c r="C1" s="901"/>
      <c r="D1" s="902"/>
      <c r="E1" s="903"/>
      <c r="F1" s="901"/>
      <c r="G1" s="904"/>
      <c r="H1" s="901"/>
      <c r="I1" s="901"/>
      <c r="J1" s="901"/>
      <c r="K1" s="901"/>
    </row>
    <row r="2" spans="1:11" s="31" customFormat="1" ht="21">
      <c r="A2" s="900" t="str">
        <f>'RFPR cover'!C5</f>
        <v>WPD-EMID</v>
      </c>
      <c r="B2" s="901"/>
      <c r="C2" s="901"/>
      <c r="D2" s="903"/>
      <c r="E2" s="903"/>
      <c r="F2" s="901"/>
      <c r="G2" s="904"/>
      <c r="H2" s="901"/>
      <c r="I2" s="901"/>
      <c r="J2" s="901"/>
      <c r="K2" s="901"/>
    </row>
    <row r="3" spans="1:11" s="31" customFormat="1" ht="21">
      <c r="A3" s="900">
        <f>'RFPR cover'!C7</f>
        <v>2020</v>
      </c>
      <c r="B3" s="901"/>
      <c r="C3" s="901"/>
      <c r="D3" s="903"/>
      <c r="E3" s="903"/>
      <c r="F3" s="901"/>
      <c r="G3" s="904"/>
      <c r="H3" s="901"/>
      <c r="I3" s="901"/>
      <c r="J3" s="901"/>
      <c r="K3" s="901"/>
    </row>
    <row r="4" spans="1:11" ht="13.8">
      <c r="A4" s="30"/>
      <c r="B4" s="30"/>
      <c r="C4" s="30"/>
      <c r="D4" s="30"/>
      <c r="E4" s="30"/>
      <c r="H4" s="10"/>
      <c r="I4" s="10"/>
      <c r="J4" s="10"/>
    </row>
    <row r="5" spans="1:11" ht="13.5" customHeight="1">
      <c r="A5" s="30"/>
      <c r="B5" s="78" t="s">
        <v>62</v>
      </c>
      <c r="C5" s="45" t="s">
        <v>246</v>
      </c>
      <c r="D5" s="338"/>
      <c r="E5" s="19"/>
      <c r="F5" s="11"/>
      <c r="G5" s="547" t="s">
        <v>0</v>
      </c>
      <c r="H5" s="10"/>
      <c r="I5" s="10"/>
      <c r="J5" s="10"/>
    </row>
    <row r="6" spans="1:11" ht="13.5" customHeight="1">
      <c r="A6" s="30"/>
      <c r="B6" s="78" t="s">
        <v>189</v>
      </c>
      <c r="C6" s="83" t="str">
        <f>INDEX(Data!$A$73:$A$100,MATCH($C$5,Data!$B$73:$B$100,0),0)&amp;"1"</f>
        <v>ED1</v>
      </c>
      <c r="D6" s="19"/>
      <c r="E6" s="19"/>
      <c r="F6" s="9"/>
      <c r="G6" s="547" t="s">
        <v>1</v>
      </c>
      <c r="H6" s="10"/>
      <c r="I6" s="10"/>
      <c r="J6" s="10"/>
    </row>
    <row r="7" spans="1:11" ht="25.8">
      <c r="A7" s="30"/>
      <c r="B7" s="79" t="s">
        <v>188</v>
      </c>
      <c r="C7" s="84">
        <v>2020</v>
      </c>
      <c r="D7" s="18"/>
      <c r="E7" s="19"/>
      <c r="F7" s="8"/>
      <c r="G7" s="548" t="s">
        <v>2</v>
      </c>
      <c r="H7" s="10"/>
      <c r="I7" s="10"/>
      <c r="J7" s="10"/>
    </row>
    <row r="8" spans="1:11" ht="13.8">
      <c r="A8" s="30"/>
      <c r="B8" s="957" t="s">
        <v>37</v>
      </c>
      <c r="C8" s="966">
        <v>2</v>
      </c>
      <c r="D8" s="19"/>
      <c r="E8" s="18"/>
      <c r="F8" s="7"/>
      <c r="G8" s="547" t="s">
        <v>3</v>
      </c>
      <c r="H8" s="10"/>
      <c r="I8" s="10"/>
      <c r="J8" s="10"/>
    </row>
    <row r="9" spans="1:11" ht="13.8">
      <c r="A9" s="30"/>
      <c r="B9" s="957" t="s">
        <v>38</v>
      </c>
      <c r="C9" s="967">
        <v>44117</v>
      </c>
      <c r="D9" s="18"/>
      <c r="E9" s="18"/>
      <c r="F9" s="6"/>
      <c r="G9" s="547" t="s">
        <v>4</v>
      </c>
      <c r="H9" s="10"/>
      <c r="I9" s="10"/>
      <c r="J9" s="10"/>
    </row>
    <row r="10" spans="1:11" ht="13.8">
      <c r="A10" s="30"/>
      <c r="B10" s="78" t="s">
        <v>70</v>
      </c>
      <c r="C10" s="85">
        <f>SUMIF(Data!$B$72:$B$100,C5,Data!$C$72:$C$100)</f>
        <v>6.4000000000000001E-2</v>
      </c>
      <c r="D10" s="18"/>
      <c r="E10" s="18"/>
      <c r="F10" s="5"/>
      <c r="G10" s="547" t="s">
        <v>5</v>
      </c>
      <c r="H10" s="10"/>
      <c r="I10" s="10"/>
      <c r="J10" s="10"/>
    </row>
    <row r="11" spans="1:11" ht="13.8">
      <c r="A11" s="30"/>
      <c r="B11" s="78" t="s">
        <v>71</v>
      </c>
      <c r="C11" s="86">
        <f>SUMIF(Data!$B$72:$B$100,C5,Data!$D$72:$D$100)</f>
        <v>0.7</v>
      </c>
      <c r="D11" s="19"/>
      <c r="E11" s="19"/>
      <c r="F11" s="4"/>
      <c r="G11" s="547" t="s">
        <v>6</v>
      </c>
      <c r="H11" s="10"/>
      <c r="I11" s="10"/>
      <c r="J11" s="10"/>
    </row>
    <row r="12" spans="1:11">
      <c r="A12" s="30"/>
      <c r="B12" s="78" t="s">
        <v>115</v>
      </c>
      <c r="C12" s="85">
        <f>SUMIF(Data!$B$72:$B$100,C5,Data!$E$72:$E$100)</f>
        <v>0.65</v>
      </c>
      <c r="D12" s="18"/>
      <c r="E12" s="18"/>
      <c r="F12" s="18"/>
      <c r="G12" s="549"/>
    </row>
    <row r="13" spans="1:11">
      <c r="A13" s="30"/>
      <c r="B13" s="78" t="s">
        <v>510</v>
      </c>
      <c r="C13" s="83">
        <f>INDEX(Data!$G$73:$G$100,MATCH($C$5,Data!$B$73:$B$100,0),0)</f>
        <v>2016</v>
      </c>
      <c r="D13" s="18"/>
      <c r="E13" s="18"/>
      <c r="F13" s="77" t="s">
        <v>191</v>
      </c>
    </row>
    <row r="14" spans="1:11">
      <c r="A14" s="30"/>
      <c r="B14" s="80" t="s">
        <v>185</v>
      </c>
      <c r="C14" s="83" t="str">
        <f>INDEX(Data!$H$73:$H$100,MATCH($C$5,Data!$B$73:$B$100,0),0)</f>
        <v>£m 12/13</v>
      </c>
      <c r="D14" s="18"/>
      <c r="E14" s="18"/>
      <c r="F14" s="88">
        <v>0.1</v>
      </c>
      <c r="G14" s="549"/>
    </row>
    <row r="15" spans="1:11">
      <c r="A15" s="30"/>
      <c r="B15" s="18"/>
      <c r="C15" s="18"/>
      <c r="D15" s="18"/>
      <c r="E15" s="18"/>
      <c r="F15" s="18"/>
      <c r="G15" s="549"/>
    </row>
    <row r="85" spans="1:1">
      <c r="A85" s="203"/>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R28"/>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9.453125" customWidth="1"/>
    <col min="3" max="3" width="14.08984375" style="135" customWidth="1"/>
    <col min="4" max="11" width="11.08984375" customWidth="1"/>
    <col min="12" max="12" width="5" customWidth="1"/>
  </cols>
  <sheetData>
    <row r="1" spans="1:18" s="31" customFormat="1" ht="21">
      <c r="A1" s="919" t="s">
        <v>100</v>
      </c>
      <c r="B1" s="915"/>
      <c r="C1" s="277"/>
      <c r="D1" s="255"/>
      <c r="E1" s="255"/>
      <c r="F1" s="255"/>
      <c r="G1" s="255"/>
      <c r="H1" s="255"/>
      <c r="I1" s="256"/>
      <c r="J1" s="256"/>
      <c r="K1" s="257"/>
      <c r="L1" s="258"/>
    </row>
    <row r="2" spans="1:18" s="31" customFormat="1" ht="21">
      <c r="A2" s="908" t="str">
        <f>'RFPR cover'!C5</f>
        <v>WPD-EMID</v>
      </c>
      <c r="B2" s="900"/>
      <c r="C2" s="133"/>
      <c r="D2" s="29"/>
      <c r="E2" s="29"/>
      <c r="F2" s="29"/>
      <c r="G2" s="29"/>
      <c r="H2" s="29"/>
      <c r="I2" s="27"/>
      <c r="J2" s="27"/>
      <c r="K2" s="27"/>
      <c r="L2" s="122"/>
    </row>
    <row r="3" spans="1:18" s="37" customFormat="1" ht="22.8">
      <c r="A3" s="911">
        <f>'RFPR cover'!C7</f>
        <v>2020</v>
      </c>
      <c r="B3" s="917" t="str">
        <f>'R1 - RoRE'!B3</f>
        <v/>
      </c>
      <c r="C3" s="279"/>
      <c r="D3" s="278"/>
      <c r="E3" s="278"/>
      <c r="F3" s="278"/>
      <c r="G3" s="278"/>
      <c r="H3" s="278"/>
      <c r="I3" s="254"/>
      <c r="J3" s="254"/>
      <c r="K3" s="254"/>
      <c r="L3" s="260"/>
    </row>
    <row r="4" spans="1:18" s="2" customFormat="1" ht="12.75" customHeight="1">
      <c r="C4" s="135"/>
    </row>
    <row r="5" spans="1:18" s="2" customFormat="1">
      <c r="B5" s="3"/>
      <c r="C5" s="135"/>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row>
    <row r="6" spans="1:18" s="2" customFormat="1">
      <c r="C6" s="135"/>
      <c r="D6" s="116">
        <f>'RFPR cover'!$C$13</f>
        <v>2016</v>
      </c>
      <c r="E6" s="117">
        <f>D6+1</f>
        <v>2017</v>
      </c>
      <c r="F6" s="117">
        <f t="shared" ref="F6:K6" si="0">E6+1</f>
        <v>2018</v>
      </c>
      <c r="G6" s="117">
        <f t="shared" si="0"/>
        <v>2019</v>
      </c>
      <c r="H6" s="117">
        <f t="shared" si="0"/>
        <v>2020</v>
      </c>
      <c r="I6" s="117">
        <f t="shared" si="0"/>
        <v>2021</v>
      </c>
      <c r="J6" s="117">
        <f t="shared" si="0"/>
        <v>2022</v>
      </c>
      <c r="K6" s="117">
        <f t="shared" si="0"/>
        <v>2023</v>
      </c>
    </row>
    <row r="7" spans="1:18" s="2" customFormat="1">
      <c r="C7" s="135"/>
    </row>
    <row r="8" spans="1:18" s="2" customFormat="1">
      <c r="B8" s="51" t="s">
        <v>134</v>
      </c>
      <c r="C8" s="136"/>
      <c r="D8" s="57"/>
      <c r="E8" s="57"/>
      <c r="F8" s="57"/>
      <c r="G8" s="57"/>
      <c r="H8" s="57"/>
      <c r="I8" s="57"/>
      <c r="J8" s="57"/>
      <c r="K8" s="57"/>
    </row>
    <row r="9" spans="1:18" s="2" customFormat="1">
      <c r="B9" s="224" t="s">
        <v>517</v>
      </c>
      <c r="C9" s="151" t="s">
        <v>128</v>
      </c>
      <c r="D9" s="593">
        <v>0.56871103000000001</v>
      </c>
      <c r="E9" s="594">
        <v>1.7316265999999998</v>
      </c>
      <c r="F9" s="594">
        <v>2.0625999999999998</v>
      </c>
      <c r="G9" s="594">
        <v>1.4103000000000001</v>
      </c>
      <c r="H9" s="594">
        <v>2.1141750000000004</v>
      </c>
      <c r="I9" s="594">
        <v>2.3300601855053098</v>
      </c>
      <c r="J9" s="594">
        <v>2.148563792009921</v>
      </c>
      <c r="K9" s="594">
        <v>1.8760224583695493</v>
      </c>
      <c r="P9" s="944"/>
      <c r="Q9" s="944"/>
      <c r="R9" s="944"/>
    </row>
    <row r="10" spans="1:18" s="2" customFormat="1">
      <c r="B10" s="224" t="s">
        <v>498</v>
      </c>
      <c r="C10" s="151" t="s">
        <v>128</v>
      </c>
      <c r="D10" s="595">
        <v>0</v>
      </c>
      <c r="E10" s="596">
        <v>0</v>
      </c>
      <c r="F10" s="596">
        <v>0</v>
      </c>
      <c r="G10" s="596">
        <v>0</v>
      </c>
      <c r="H10" s="596">
        <v>0</v>
      </c>
      <c r="I10" s="596">
        <v>0</v>
      </c>
      <c r="J10" s="596">
        <v>0</v>
      </c>
      <c r="K10" s="596">
        <v>0</v>
      </c>
      <c r="P10" s="944"/>
      <c r="Q10" s="944"/>
      <c r="R10" s="944"/>
    </row>
    <row r="11" spans="1:18" s="2" customFormat="1">
      <c r="B11" s="224" t="s">
        <v>516</v>
      </c>
      <c r="C11" s="151" t="s">
        <v>128</v>
      </c>
      <c r="D11" s="847">
        <v>5.6871103000000006E-2</v>
      </c>
      <c r="E11" s="848">
        <v>0.16641265999999999</v>
      </c>
      <c r="F11" s="848">
        <v>0.20626</v>
      </c>
      <c r="G11" s="848">
        <v>0.14103000000000002</v>
      </c>
      <c r="H11" s="848">
        <v>0.21141750000000004</v>
      </c>
      <c r="I11" s="848">
        <f>+I9*0.1</f>
        <v>0.23300601855053099</v>
      </c>
      <c r="J11" s="848">
        <f t="shared" ref="J11:K11" si="1">+J9*0.1</f>
        <v>0.2148563792009921</v>
      </c>
      <c r="K11" s="848">
        <f t="shared" si="1"/>
        <v>0.18760224583695495</v>
      </c>
      <c r="P11" s="944"/>
      <c r="Q11" s="944"/>
      <c r="R11" s="944"/>
    </row>
    <row r="12" spans="1:18" s="12" customFormat="1">
      <c r="B12" s="51" t="s">
        <v>132</v>
      </c>
      <c r="C12" s="151" t="s">
        <v>128</v>
      </c>
      <c r="D12" s="609">
        <f>D9-D10-D11</f>
        <v>0.51183992700000003</v>
      </c>
      <c r="E12" s="610">
        <f t="shared" ref="E12:K12" si="2">E9-E10-E11</f>
        <v>1.5652139399999998</v>
      </c>
      <c r="F12" s="610">
        <f t="shared" si="2"/>
        <v>1.8563399999999999</v>
      </c>
      <c r="G12" s="610">
        <f t="shared" si="2"/>
        <v>1.2692700000000001</v>
      </c>
      <c r="H12" s="610">
        <f t="shared" si="2"/>
        <v>1.9027575000000003</v>
      </c>
      <c r="I12" s="610">
        <f t="shared" si="2"/>
        <v>2.0970541669547789</v>
      </c>
      <c r="J12" s="610">
        <f t="shared" si="2"/>
        <v>1.9337074128089289</v>
      </c>
      <c r="K12" s="610">
        <f t="shared" si="2"/>
        <v>1.6884202125325944</v>
      </c>
      <c r="L12" s="2"/>
    </row>
    <row r="13" spans="1:18" s="12" customFormat="1">
      <c r="B13" s="51"/>
      <c r="C13" s="135"/>
      <c r="D13" s="52"/>
      <c r="E13" s="52"/>
      <c r="F13" s="52"/>
      <c r="G13" s="52"/>
      <c r="H13" s="52"/>
      <c r="I13" s="52"/>
      <c r="J13" s="52"/>
      <c r="K13" s="52"/>
      <c r="L13" s="2"/>
    </row>
    <row r="14" spans="1:18" s="2" customFormat="1">
      <c r="B14" s="51" t="s">
        <v>156</v>
      </c>
      <c r="C14" s="136"/>
      <c r="D14" s="57"/>
      <c r="E14" s="57"/>
      <c r="F14" s="57"/>
      <c r="G14" s="57"/>
      <c r="H14" s="57"/>
      <c r="I14" s="57"/>
      <c r="J14" s="57"/>
      <c r="K14" s="57"/>
    </row>
    <row r="15" spans="1:18" s="2" customFormat="1" ht="13.2" customHeight="1">
      <c r="B15" s="224" t="s">
        <v>519</v>
      </c>
      <c r="C15" s="151" t="s">
        <v>128</v>
      </c>
      <c r="D15" s="593">
        <v>1.80788244</v>
      </c>
      <c r="E15" s="594">
        <v>9.5952499999999996E-2</v>
      </c>
      <c r="F15" s="594">
        <v>0.27769422999999999</v>
      </c>
      <c r="G15" s="594">
        <v>0.75350304000000001</v>
      </c>
      <c r="H15" s="594">
        <v>0.10352917</v>
      </c>
      <c r="I15" s="594">
        <v>0</v>
      </c>
      <c r="J15" s="594">
        <v>0</v>
      </c>
      <c r="K15" s="594">
        <v>0</v>
      </c>
    </row>
    <row r="16" spans="1:18" s="2" customFormat="1">
      <c r="B16" s="224" t="s">
        <v>518</v>
      </c>
      <c r="C16" s="151" t="s">
        <v>128</v>
      </c>
      <c r="D16" s="595">
        <v>0</v>
      </c>
      <c r="E16" s="596">
        <v>0</v>
      </c>
      <c r="F16" s="596">
        <v>0</v>
      </c>
      <c r="G16" s="596">
        <v>0</v>
      </c>
      <c r="H16" s="596">
        <v>0</v>
      </c>
      <c r="I16" s="596">
        <v>0</v>
      </c>
      <c r="J16" s="596">
        <v>0</v>
      </c>
      <c r="K16" s="596">
        <v>0</v>
      </c>
    </row>
    <row r="17" spans="2:12" s="12" customFormat="1">
      <c r="B17" s="51" t="s">
        <v>133</v>
      </c>
      <c r="C17" s="151" t="s">
        <v>128</v>
      </c>
      <c r="D17" s="609">
        <f>D15-D16</f>
        <v>1.80788244</v>
      </c>
      <c r="E17" s="609">
        <f t="shared" ref="E17:K17" si="3">E15-E16</f>
        <v>9.5952499999999996E-2</v>
      </c>
      <c r="F17" s="609">
        <f t="shared" si="3"/>
        <v>0.27769422999999999</v>
      </c>
      <c r="G17" s="609">
        <f t="shared" si="3"/>
        <v>0.75350304000000001</v>
      </c>
      <c r="H17" s="609">
        <f t="shared" si="3"/>
        <v>0.10352917</v>
      </c>
      <c r="I17" s="609">
        <f t="shared" si="3"/>
        <v>0</v>
      </c>
      <c r="J17" s="609">
        <f t="shared" si="3"/>
        <v>0</v>
      </c>
      <c r="K17" s="609">
        <f t="shared" si="3"/>
        <v>0</v>
      </c>
      <c r="L17" s="2"/>
    </row>
    <row r="18" spans="2:12" s="12" customFormat="1">
      <c r="B18" s="51"/>
      <c r="C18" s="135"/>
      <c r="D18" s="52"/>
      <c r="E18" s="52"/>
      <c r="F18" s="52"/>
      <c r="G18" s="52"/>
      <c r="H18" s="52"/>
      <c r="I18" s="52"/>
      <c r="J18" s="52"/>
      <c r="K18" s="52"/>
      <c r="L18" s="2"/>
    </row>
    <row r="19" spans="2:12" s="2" customFormat="1">
      <c r="B19" s="51" t="s">
        <v>157</v>
      </c>
      <c r="C19" s="136"/>
      <c r="D19" s="57"/>
      <c r="E19" s="57"/>
      <c r="F19" s="57"/>
      <c r="G19" s="57"/>
      <c r="H19" s="57"/>
      <c r="I19" s="57"/>
      <c r="J19" s="57"/>
      <c r="K19" s="57"/>
    </row>
    <row r="20" spans="2:12" s="2" customFormat="1">
      <c r="B20" s="224" t="s">
        <v>447</v>
      </c>
      <c r="C20" s="151" t="s">
        <v>128</v>
      </c>
      <c r="D20" s="593">
        <v>0</v>
      </c>
      <c r="E20" s="594">
        <v>0</v>
      </c>
      <c r="F20" s="594">
        <v>5.5999999999999991E-3</v>
      </c>
      <c r="G20" s="594">
        <v>0.58279999999999998</v>
      </c>
      <c r="H20" s="594">
        <v>0.60210000000000008</v>
      </c>
      <c r="I20" s="594">
        <v>2.8355139267097962</v>
      </c>
      <c r="J20" s="594">
        <v>2.4489217779279038</v>
      </c>
      <c r="K20" s="594">
        <v>1.105672359021479</v>
      </c>
    </row>
    <row r="21" spans="2:12" s="2" customFormat="1">
      <c r="B21" s="224" t="s">
        <v>516</v>
      </c>
      <c r="C21" s="151" t="s">
        <v>128</v>
      </c>
      <c r="D21" s="631">
        <v>0</v>
      </c>
      <c r="E21" s="632">
        <v>0</v>
      </c>
      <c r="F21" s="632">
        <v>6.1999999999999989E-3</v>
      </c>
      <c r="G21" s="632">
        <v>0.10519999999999995</v>
      </c>
      <c r="H21" s="632">
        <v>0.10890000000000011</v>
      </c>
      <c r="I21" s="632">
        <v>0.31505710297043971</v>
      </c>
      <c r="J21" s="632">
        <v>0.27210241976839605</v>
      </c>
      <c r="K21" s="632">
        <v>0.35469431753382008</v>
      </c>
    </row>
    <row r="22" spans="2:12" s="2" customFormat="1">
      <c r="B22" s="35"/>
      <c r="C22" s="137"/>
      <c r="D22" s="35"/>
      <c r="E22" s="35"/>
      <c r="F22" s="35"/>
      <c r="G22" s="35"/>
      <c r="H22" s="35"/>
      <c r="I22" s="35"/>
      <c r="J22" s="35"/>
      <c r="K22" s="35"/>
    </row>
    <row r="23" spans="2:12" s="2" customFormat="1">
      <c r="B23" s="224" t="s">
        <v>501</v>
      </c>
      <c r="C23" s="151" t="s">
        <v>128</v>
      </c>
      <c r="D23" s="631">
        <v>0</v>
      </c>
      <c r="E23" s="632">
        <v>1.542</v>
      </c>
      <c r="F23" s="632">
        <v>0.4375</v>
      </c>
      <c r="G23" s="632">
        <v>0</v>
      </c>
      <c r="H23" s="632">
        <v>0</v>
      </c>
      <c r="I23" s="632">
        <v>0</v>
      </c>
      <c r="J23" s="632">
        <v>0</v>
      </c>
      <c r="K23" s="632">
        <v>0</v>
      </c>
    </row>
    <row r="24" spans="2:12" s="2" customFormat="1">
      <c r="B24" s="35"/>
      <c r="C24" s="137"/>
      <c r="D24" s="35"/>
      <c r="E24" s="35"/>
      <c r="F24" s="35"/>
      <c r="G24" s="35"/>
      <c r="H24" s="35"/>
      <c r="I24" s="35"/>
      <c r="J24" s="35"/>
      <c r="K24" s="35"/>
    </row>
    <row r="25" spans="2:12" s="2" customFormat="1">
      <c r="B25" s="81"/>
      <c r="C25" s="149"/>
      <c r="D25" s="81"/>
      <c r="E25" s="81"/>
      <c r="F25" s="81"/>
      <c r="G25" s="81"/>
      <c r="H25" s="81"/>
      <c r="I25" s="81"/>
      <c r="J25" s="81"/>
      <c r="K25" s="81"/>
      <c r="L25" s="81"/>
    </row>
    <row r="26" spans="2:12" s="2" customFormat="1">
      <c r="B26" s="35"/>
      <c r="C26" s="137"/>
      <c r="D26" s="35"/>
      <c r="E26" s="35"/>
      <c r="F26" s="35"/>
      <c r="G26" s="35"/>
      <c r="H26" s="35"/>
      <c r="I26" s="35"/>
      <c r="J26" s="35"/>
      <c r="K26" s="35"/>
    </row>
    <row r="27" spans="2:12" s="2" customFormat="1">
      <c r="B27" s="51" t="s">
        <v>393</v>
      </c>
      <c r="C27" s="137"/>
      <c r="D27" s="35"/>
      <c r="E27" s="35"/>
      <c r="F27" s="35"/>
      <c r="G27" s="35"/>
      <c r="H27" s="35"/>
      <c r="I27" s="35"/>
      <c r="J27" s="35"/>
      <c r="K27" s="35"/>
    </row>
    <row r="28" spans="2:12" s="2" customFormat="1">
      <c r="B28" s="224" t="s">
        <v>499</v>
      </c>
      <c r="C28" s="154" t="str">
        <f>'RFPR cover'!$C$14</f>
        <v>£m 12/13</v>
      </c>
      <c r="D28" s="679">
        <f>(SUM(D10,D11,D21)-D23)/Data!C34</f>
        <v>5.3635956591971734E-2</v>
      </c>
      <c r="E28" s="679">
        <f>(SUM(E10,E11,E21)-E23)/Data!D34</f>
        <v>-1.270120729737124</v>
      </c>
      <c r="F28" s="679">
        <f>(SUM(F10,F11,F21)-F23)/Data!E34</f>
        <v>-0.20029123197578827</v>
      </c>
      <c r="G28" s="679">
        <f>(SUM(G10,G11,G21)-G23)/Data!F34</f>
        <v>0.21265310280683916</v>
      </c>
      <c r="H28" s="679">
        <f>(SUM(H10,H11,H21)-H23)/Data!G34</f>
        <v>0.26965711876638626</v>
      </c>
      <c r="I28" s="679">
        <f>(SUM(I10,I11,I21)-I23)/Data!H34</f>
        <v>0.4536708243499607</v>
      </c>
      <c r="J28" s="679">
        <f>(SUM(J10,J11,J21)-J23)/Data!I34</f>
        <v>0.39470299220368088</v>
      </c>
      <c r="K28" s="679">
        <f>(SUM(K10,K11,K21)-K23)/Data!J34</f>
        <v>0.4285223991850311</v>
      </c>
      <c r="L28" s="35"/>
    </row>
  </sheetData>
  <conditionalFormatting sqref="D6:K6">
    <cfRule type="expression" dxfId="50" priority="24">
      <formula>AND(D$5="Actuals",E$5="Forecast")</formula>
    </cfRule>
  </conditionalFormatting>
  <conditionalFormatting sqref="D5:K5">
    <cfRule type="expression" dxfId="49"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1"/>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1" customFormat="1" ht="21">
      <c r="A1" s="919" t="s">
        <v>265</v>
      </c>
      <c r="B1" s="915"/>
      <c r="C1" s="255"/>
      <c r="D1" s="255"/>
      <c r="E1" s="255"/>
      <c r="F1" s="255"/>
      <c r="G1" s="255"/>
      <c r="H1" s="255"/>
      <c r="I1" s="256"/>
      <c r="J1" s="256"/>
      <c r="K1" s="257"/>
      <c r="L1" s="257"/>
      <c r="M1" s="257"/>
      <c r="N1" s="258"/>
    </row>
    <row r="2" spans="1:14" s="31" customFormat="1" ht="21">
      <c r="A2" s="908" t="str">
        <f>'RFPR cover'!C5</f>
        <v>WPD-EMID</v>
      </c>
      <c r="B2" s="900"/>
      <c r="C2" s="29"/>
      <c r="D2" s="29"/>
      <c r="E2" s="29"/>
      <c r="F2" s="29"/>
      <c r="G2" s="29"/>
      <c r="H2" s="29"/>
      <c r="I2" s="27"/>
      <c r="J2" s="27"/>
      <c r="K2" s="27"/>
      <c r="L2" s="27"/>
      <c r="M2" s="27"/>
      <c r="N2" s="122"/>
    </row>
    <row r="3" spans="1:14" s="31" customFormat="1" ht="22.8">
      <c r="A3" s="911">
        <f>'RFPR cover'!C7</f>
        <v>2020</v>
      </c>
      <c r="B3" s="917" t="str">
        <f>'R1 - RoRE'!B3</f>
        <v/>
      </c>
      <c r="C3" s="259"/>
      <c r="D3" s="259"/>
      <c r="E3" s="259"/>
      <c r="F3" s="259"/>
      <c r="G3" s="259"/>
      <c r="H3" s="259"/>
      <c r="I3" s="254"/>
      <c r="J3" s="254"/>
      <c r="K3" s="254"/>
      <c r="L3" s="254"/>
      <c r="M3" s="254"/>
      <c r="N3" s="260"/>
    </row>
    <row r="4" spans="1:14" s="31" customFormat="1" ht="12.75" customHeight="1">
      <c r="A4" s="39"/>
      <c r="B4" s="39"/>
      <c r="C4" s="39"/>
      <c r="D4" s="39"/>
      <c r="E4" s="39"/>
      <c r="F4" s="39"/>
      <c r="G4" s="39"/>
      <c r="H4" s="39"/>
      <c r="I4" s="34"/>
      <c r="J4" s="34"/>
      <c r="K4" s="34"/>
      <c r="L4" s="33"/>
    </row>
    <row r="5" spans="1:14" s="2" customFormat="1">
      <c r="B5" s="3"/>
      <c r="C5" s="3"/>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row>
    <row r="6" spans="1:14" s="2" customFormat="1" ht="25.2">
      <c r="D6" s="116">
        <f>'RFPR cover'!$C$13</f>
        <v>2016</v>
      </c>
      <c r="E6" s="117">
        <f>D6+1</f>
        <v>2017</v>
      </c>
      <c r="F6" s="117">
        <f t="shared" ref="F6:K6" si="0">E6+1</f>
        <v>2018</v>
      </c>
      <c r="G6" s="117">
        <f t="shared" si="0"/>
        <v>2019</v>
      </c>
      <c r="H6" s="117">
        <f t="shared" si="0"/>
        <v>2020</v>
      </c>
      <c r="I6" s="117">
        <f t="shared" si="0"/>
        <v>2021</v>
      </c>
      <c r="J6" s="117">
        <f t="shared" si="0"/>
        <v>2022</v>
      </c>
      <c r="K6" s="194">
        <f t="shared" si="0"/>
        <v>2023</v>
      </c>
      <c r="L6" s="100" t="str">
        <f>"Cumulative to "&amp;'RFPR cover'!$C$7</f>
        <v>Cumulative to 2020</v>
      </c>
      <c r="M6" s="280" t="s">
        <v>109</v>
      </c>
    </row>
    <row r="7" spans="1:14" s="2" customFormat="1"/>
    <row r="8" spans="1:14">
      <c r="B8" s="478" t="s">
        <v>304</v>
      </c>
      <c r="C8" s="151" t="s">
        <v>128</v>
      </c>
      <c r="D8" s="347">
        <v>65.600283990000008</v>
      </c>
      <c r="E8" s="384">
        <v>66.769717290000003</v>
      </c>
      <c r="F8" s="384">
        <v>74.145997149999999</v>
      </c>
      <c r="G8" s="384">
        <v>68.284504199999986</v>
      </c>
      <c r="H8" s="384">
        <v>72.590882829999998</v>
      </c>
      <c r="I8" s="384">
        <v>72.748599193714895</v>
      </c>
      <c r="J8" s="384">
        <v>73.962841602395798</v>
      </c>
      <c r="K8" s="385">
        <v>68.279505871790334</v>
      </c>
      <c r="L8" s="35"/>
      <c r="M8" s="35"/>
    </row>
    <row r="9" spans="1:14">
      <c r="B9" s="14"/>
      <c r="C9" s="151"/>
      <c r="D9" s="228"/>
      <c r="E9" s="228"/>
      <c r="F9" s="228"/>
      <c r="G9" s="228"/>
      <c r="H9" s="228"/>
      <c r="I9" s="228"/>
      <c r="J9" s="228"/>
      <c r="K9" s="228"/>
      <c r="L9" s="35"/>
      <c r="M9" s="35"/>
    </row>
    <row r="10" spans="1:14">
      <c r="B10" s="14" t="s">
        <v>477</v>
      </c>
      <c r="C10" s="16"/>
      <c r="D10" s="229"/>
      <c r="E10" s="229"/>
      <c r="F10" s="229"/>
      <c r="G10" s="229"/>
      <c r="H10" s="229"/>
      <c r="I10" s="229"/>
      <c r="J10" s="229"/>
      <c r="K10" s="229"/>
      <c r="L10" s="35"/>
      <c r="M10" s="35"/>
    </row>
    <row r="11" spans="1:14">
      <c r="B11" s="368" t="s">
        <v>12</v>
      </c>
      <c r="C11" s="151" t="s">
        <v>128</v>
      </c>
      <c r="D11" s="376">
        <v>0</v>
      </c>
      <c r="E11" s="377">
        <v>0</v>
      </c>
      <c r="F11" s="377">
        <v>0</v>
      </c>
      <c r="G11" s="377">
        <v>0</v>
      </c>
      <c r="H11" s="377">
        <v>0</v>
      </c>
      <c r="I11" s="377">
        <v>0</v>
      </c>
      <c r="J11" s="377">
        <v>0</v>
      </c>
      <c r="K11" s="381">
        <v>0</v>
      </c>
      <c r="L11" s="35"/>
      <c r="M11" s="35"/>
    </row>
    <row r="12" spans="1:14">
      <c r="B12" s="368" t="s">
        <v>13</v>
      </c>
      <c r="C12" s="151" t="s">
        <v>128</v>
      </c>
      <c r="D12" s="346">
        <v>-0.559392</v>
      </c>
      <c r="E12" s="378">
        <v>-1.309042</v>
      </c>
      <c r="F12" s="378">
        <v>-0.55940000000000001</v>
      </c>
      <c r="G12" s="378">
        <v>-0.559392</v>
      </c>
      <c r="H12" s="378">
        <v>-1.55667672</v>
      </c>
      <c r="I12" s="378">
        <v>-2.5183591066666664</v>
      </c>
      <c r="J12" s="378">
        <v>-2.4115487733333332</v>
      </c>
      <c r="K12" s="382">
        <v>-2.3403374399999999</v>
      </c>
      <c r="L12" s="35"/>
      <c r="M12" s="35"/>
    </row>
    <row r="13" spans="1:14">
      <c r="B13" s="368" t="s">
        <v>14</v>
      </c>
      <c r="C13" s="151" t="s">
        <v>128</v>
      </c>
      <c r="D13" s="346">
        <v>0</v>
      </c>
      <c r="E13" s="378">
        <v>0</v>
      </c>
      <c r="F13" s="378">
        <v>0</v>
      </c>
      <c r="G13" s="378">
        <v>0</v>
      </c>
      <c r="H13" s="378">
        <v>0</v>
      </c>
      <c r="I13" s="378">
        <v>0</v>
      </c>
      <c r="J13" s="378">
        <v>0</v>
      </c>
      <c r="K13" s="382">
        <v>0</v>
      </c>
      <c r="L13" s="35"/>
      <c r="M13" s="35"/>
    </row>
    <row r="14" spans="1:14">
      <c r="B14" s="368" t="s">
        <v>15</v>
      </c>
      <c r="C14" s="151" t="s">
        <v>128</v>
      </c>
      <c r="D14" s="346">
        <v>0</v>
      </c>
      <c r="E14" s="378">
        <v>0</v>
      </c>
      <c r="F14" s="378">
        <v>0</v>
      </c>
      <c r="G14" s="378">
        <v>0</v>
      </c>
      <c r="H14" s="378">
        <v>0</v>
      </c>
      <c r="I14" s="378">
        <v>0</v>
      </c>
      <c r="J14" s="378">
        <v>0</v>
      </c>
      <c r="K14" s="382">
        <v>0</v>
      </c>
      <c r="L14" s="35"/>
      <c r="M14" s="35"/>
    </row>
    <row r="15" spans="1:14">
      <c r="B15" s="368" t="s">
        <v>16</v>
      </c>
      <c r="C15" s="151" t="s">
        <v>128</v>
      </c>
      <c r="D15" s="346">
        <v>-0.6</v>
      </c>
      <c r="E15" s="378">
        <v>0</v>
      </c>
      <c r="F15" s="378">
        <v>0</v>
      </c>
      <c r="G15" s="378">
        <v>0</v>
      </c>
      <c r="H15" s="378">
        <v>0</v>
      </c>
      <c r="I15" s="378">
        <v>0</v>
      </c>
      <c r="J15" s="378">
        <v>0</v>
      </c>
      <c r="K15" s="382">
        <v>0</v>
      </c>
      <c r="L15" s="35"/>
      <c r="M15" s="35"/>
    </row>
    <row r="16" spans="1:14">
      <c r="B16" s="368" t="s">
        <v>17</v>
      </c>
      <c r="C16" s="151" t="s">
        <v>128</v>
      </c>
      <c r="D16" s="346">
        <v>-4.0189999999999984</v>
      </c>
      <c r="E16" s="378">
        <v>-0.28339233999999891</v>
      </c>
      <c r="F16" s="378">
        <v>-0.67079999999999995</v>
      </c>
      <c r="G16" s="378">
        <v>-0.60650000000000404</v>
      </c>
      <c r="H16" s="378">
        <v>0.89999999999999858</v>
      </c>
      <c r="I16" s="378">
        <v>1.3583628593526953</v>
      </c>
      <c r="J16" s="378">
        <v>2.31709602349612</v>
      </c>
      <c r="K16" s="382">
        <v>3.0761202003080044</v>
      </c>
      <c r="L16" s="35"/>
    </row>
    <row r="17" spans="2:12">
      <c r="B17" s="368" t="s">
        <v>283</v>
      </c>
      <c r="C17" s="151" t="s">
        <v>128</v>
      </c>
      <c r="D17" s="346">
        <v>0.43448900000000001</v>
      </c>
      <c r="E17" s="378">
        <v>1.0665172000000001</v>
      </c>
      <c r="F17" s="378">
        <v>1.8866000000000001</v>
      </c>
      <c r="G17" s="378">
        <v>1.8839218</v>
      </c>
      <c r="H17" s="378">
        <v>1.6908133000000001</v>
      </c>
      <c r="I17" s="378">
        <v>1.5114050779113712</v>
      </c>
      <c r="J17" s="378">
        <v>1.5114050779113617</v>
      </c>
      <c r="K17" s="382">
        <v>1.4522241771970805</v>
      </c>
      <c r="L17" s="35"/>
    </row>
    <row r="18" spans="2:12" ht="12.75" customHeight="1">
      <c r="B18" s="368" t="s">
        <v>18</v>
      </c>
      <c r="C18" s="151" t="s">
        <v>128</v>
      </c>
      <c r="D18" s="346">
        <v>-0.4702375399999999</v>
      </c>
      <c r="E18" s="378">
        <v>-0.33253642999999999</v>
      </c>
      <c r="F18" s="378">
        <v>-0.21879999999999999</v>
      </c>
      <c r="G18" s="378">
        <v>-0.29116739000000003</v>
      </c>
      <c r="H18" s="378">
        <v>-0.36591165999999997</v>
      </c>
      <c r="I18" s="378">
        <v>-0.41934202004201865</v>
      </c>
      <c r="J18" s="378">
        <v>-0.49193558842627139</v>
      </c>
      <c r="K18" s="382">
        <v>-0.51303987973448928</v>
      </c>
      <c r="L18" s="35"/>
    </row>
    <row r="19" spans="2:12">
      <c r="B19" s="368" t="s">
        <v>610</v>
      </c>
      <c r="C19" s="151" t="s">
        <v>128</v>
      </c>
      <c r="D19" s="346">
        <v>0.87890000000000001</v>
      </c>
      <c r="E19" s="378">
        <v>0.97222222999999997</v>
      </c>
      <c r="F19" s="378">
        <v>1.2968999999999999</v>
      </c>
      <c r="G19" s="378">
        <v>1.895</v>
      </c>
      <c r="H19" s="378">
        <v>2.9000000000000001E-2</v>
      </c>
      <c r="I19" s="378">
        <v>0.64800000000000013</v>
      </c>
      <c r="J19" s="378">
        <v>0.68400000000000016</v>
      </c>
      <c r="K19" s="382">
        <v>0.68400000000000016</v>
      </c>
      <c r="L19" s="35"/>
    </row>
    <row r="20" spans="2:12">
      <c r="B20" s="368" t="s">
        <v>608</v>
      </c>
      <c r="C20" s="151" t="s">
        <v>128</v>
      </c>
      <c r="D20" s="346">
        <v>-0.35760000000000003</v>
      </c>
      <c r="E20" s="378">
        <v>-0.13338254999999999</v>
      </c>
      <c r="F20" s="378">
        <v>-0.28139999999999998</v>
      </c>
      <c r="G20" s="378">
        <v>-0.41391354999999996</v>
      </c>
      <c r="H20" s="378">
        <v>-0.33663216000000001</v>
      </c>
      <c r="I20" s="378">
        <v>-0.28984751333333331</v>
      </c>
      <c r="J20" s="378">
        <v>-0.28984751999999997</v>
      </c>
      <c r="K20" s="382">
        <v>-0.28984751999999997</v>
      </c>
      <c r="L20" s="35"/>
    </row>
    <row r="21" spans="2:12">
      <c r="B21" s="368" t="s">
        <v>611</v>
      </c>
      <c r="C21" s="151" t="s">
        <v>128</v>
      </c>
      <c r="D21" s="346">
        <v>0</v>
      </c>
      <c r="E21" s="378">
        <v>0</v>
      </c>
      <c r="F21" s="378">
        <v>0</v>
      </c>
      <c r="G21" s="378">
        <v>0.21563446999999999</v>
      </c>
      <c r="H21" s="378">
        <v>0</v>
      </c>
      <c r="I21" s="378">
        <v>0</v>
      </c>
      <c r="J21" s="378">
        <v>0</v>
      </c>
      <c r="K21" s="382">
        <v>0</v>
      </c>
      <c r="L21" s="35"/>
    </row>
    <row r="22" spans="2:12">
      <c r="B22" s="368" t="s">
        <v>609</v>
      </c>
      <c r="C22" s="151" t="s">
        <v>128</v>
      </c>
      <c r="D22" s="346">
        <v>0</v>
      </c>
      <c r="E22" s="378">
        <v>0</v>
      </c>
      <c r="F22" s="378">
        <v>0</v>
      </c>
      <c r="G22" s="378">
        <v>0</v>
      </c>
      <c r="H22" s="378">
        <v>-8.4790879999999999E-2</v>
      </c>
      <c r="I22" s="378">
        <v>-5.6744999999999997E-2</v>
      </c>
      <c r="J22" s="378">
        <v>-5.0522999999999998E-2</v>
      </c>
      <c r="K22" s="382">
        <v>-4.4541999999999998E-2</v>
      </c>
      <c r="L22" s="35"/>
    </row>
    <row r="23" spans="2:12">
      <c r="B23" s="368" t="s">
        <v>352</v>
      </c>
      <c r="C23" s="151" t="s">
        <v>128</v>
      </c>
      <c r="D23" s="346">
        <v>0</v>
      </c>
      <c r="E23" s="378">
        <v>0</v>
      </c>
      <c r="F23" s="378">
        <v>0</v>
      </c>
      <c r="G23" s="378">
        <v>0</v>
      </c>
      <c r="H23" s="378">
        <v>0</v>
      </c>
      <c r="I23" s="378">
        <v>0</v>
      </c>
      <c r="J23" s="378">
        <v>0</v>
      </c>
      <c r="K23" s="382">
        <v>0</v>
      </c>
      <c r="L23" s="35"/>
    </row>
    <row r="24" spans="2:12">
      <c r="B24" s="368" t="s">
        <v>353</v>
      </c>
      <c r="C24" s="151" t="s">
        <v>128</v>
      </c>
      <c r="D24" s="346">
        <v>0</v>
      </c>
      <c r="E24" s="378">
        <v>0</v>
      </c>
      <c r="F24" s="378">
        <v>0</v>
      </c>
      <c r="G24" s="378">
        <v>0</v>
      </c>
      <c r="H24" s="378">
        <v>0</v>
      </c>
      <c r="I24" s="378">
        <v>0</v>
      </c>
      <c r="J24" s="378">
        <v>0</v>
      </c>
      <c r="K24" s="382">
        <v>0</v>
      </c>
      <c r="L24" s="35"/>
    </row>
    <row r="25" spans="2:12">
      <c r="B25" s="368" t="s">
        <v>354</v>
      </c>
      <c r="C25" s="151" t="s">
        <v>128</v>
      </c>
      <c r="D25" s="346">
        <v>0</v>
      </c>
      <c r="E25" s="378">
        <v>0</v>
      </c>
      <c r="F25" s="378">
        <v>0</v>
      </c>
      <c r="G25" s="378">
        <v>0</v>
      </c>
      <c r="H25" s="378">
        <v>0</v>
      </c>
      <c r="I25" s="378">
        <v>0</v>
      </c>
      <c r="J25" s="378">
        <v>0</v>
      </c>
      <c r="K25" s="382">
        <v>0</v>
      </c>
      <c r="L25" s="35"/>
    </row>
    <row r="26" spans="2:12">
      <c r="B26" s="368" t="s">
        <v>355</v>
      </c>
      <c r="C26" s="151" t="s">
        <v>128</v>
      </c>
      <c r="D26" s="346">
        <v>0</v>
      </c>
      <c r="E26" s="378">
        <v>0</v>
      </c>
      <c r="F26" s="378">
        <v>0</v>
      </c>
      <c r="G26" s="378">
        <v>0</v>
      </c>
      <c r="H26" s="378">
        <v>0</v>
      </c>
      <c r="I26" s="378">
        <v>0</v>
      </c>
      <c r="J26" s="378">
        <v>0</v>
      </c>
      <c r="K26" s="382">
        <v>0</v>
      </c>
      <c r="L26" s="35"/>
    </row>
    <row r="27" spans="2:12">
      <c r="B27" s="368" t="s">
        <v>356</v>
      </c>
      <c r="C27" s="151" t="s">
        <v>128</v>
      </c>
      <c r="D27" s="379">
        <v>0</v>
      </c>
      <c r="E27" s="380">
        <v>0</v>
      </c>
      <c r="F27" s="380">
        <v>0</v>
      </c>
      <c r="G27" s="380">
        <v>0</v>
      </c>
      <c r="H27" s="380">
        <v>0</v>
      </c>
      <c r="I27" s="380">
        <v>0</v>
      </c>
      <c r="J27" s="380">
        <v>0</v>
      </c>
      <c r="K27" s="383">
        <v>0</v>
      </c>
      <c r="L27" s="35"/>
    </row>
    <row r="28" spans="2:12">
      <c r="B28" s="13" t="s">
        <v>19</v>
      </c>
      <c r="C28" s="151" t="s">
        <v>128</v>
      </c>
      <c r="D28" s="141">
        <v>60.907443450000017</v>
      </c>
      <c r="E28" s="142">
        <v>66.750103400000015</v>
      </c>
      <c r="F28" s="142">
        <v>75.599097149999992</v>
      </c>
      <c r="G28" s="142">
        <v>70.40808752999996</v>
      </c>
      <c r="H28" s="142">
        <v>72.866684710000001</v>
      </c>
      <c r="I28" s="142">
        <v>72.982073490936941</v>
      </c>
      <c r="J28" s="142">
        <v>75.231487822043675</v>
      </c>
      <c r="K28" s="143">
        <v>70.304083409560917</v>
      </c>
      <c r="L28" s="35"/>
    </row>
    <row r="29" spans="2:12">
      <c r="B29" s="369" t="s">
        <v>540</v>
      </c>
      <c r="C29" s="151" t="s">
        <v>128</v>
      </c>
      <c r="D29" s="386"/>
      <c r="E29" s="387"/>
      <c r="F29" s="387"/>
      <c r="G29" s="680"/>
      <c r="H29" s="680"/>
      <c r="I29" s="680">
        <v>0</v>
      </c>
      <c r="J29" s="680">
        <v>0</v>
      </c>
      <c r="K29" s="681">
        <v>10.681296751944448</v>
      </c>
      <c r="L29" s="35"/>
    </row>
    <row r="30" spans="2:12">
      <c r="B30" s="345" t="s">
        <v>305</v>
      </c>
      <c r="C30" s="151" t="s">
        <v>128</v>
      </c>
      <c r="D30" s="141">
        <v>60.907443450000017</v>
      </c>
      <c r="E30" s="142">
        <v>66.750103400000015</v>
      </c>
      <c r="F30" s="142">
        <v>75.599097149999992</v>
      </c>
      <c r="G30" s="142">
        <v>70.40808752999996</v>
      </c>
      <c r="H30" s="142">
        <v>72.866684710000001</v>
      </c>
      <c r="I30" s="142">
        <v>72.982073490936941</v>
      </c>
      <c r="J30" s="142">
        <v>75.231487822043675</v>
      </c>
      <c r="K30" s="143">
        <v>80.985380161505361</v>
      </c>
    </row>
    <row r="31" spans="2:12">
      <c r="B31" s="212" t="s">
        <v>21</v>
      </c>
      <c r="C31" s="151" t="s">
        <v>128</v>
      </c>
      <c r="D31" s="585">
        <v>60.005001970000016</v>
      </c>
      <c r="E31" s="586">
        <v>66.544064100000014</v>
      </c>
      <c r="F31" s="586">
        <v>75.689309819999991</v>
      </c>
      <c r="G31" s="586">
        <v>70.573866989999956</v>
      </c>
      <c r="H31" s="586">
        <v>72.88372099</v>
      </c>
      <c r="I31" s="586">
        <v>72.99910977093694</v>
      </c>
      <c r="J31" s="586">
        <v>75.248524102043675</v>
      </c>
      <c r="K31" s="682">
        <v>81.00241644150536</v>
      </c>
    </row>
    <row r="32" spans="2:12">
      <c r="B32" s="212" t="s">
        <v>471</v>
      </c>
      <c r="C32" s="151" t="s">
        <v>128</v>
      </c>
      <c r="D32" s="589">
        <v>0.90244147999999991</v>
      </c>
      <c r="E32" s="590">
        <v>0.20603930000000004</v>
      </c>
      <c r="F32" s="590">
        <v>-9.0212670000000009E-2</v>
      </c>
      <c r="G32" s="590">
        <v>-0.16577945999999996</v>
      </c>
      <c r="H32" s="590">
        <v>-1.7036279999999994E-2</v>
      </c>
      <c r="I32" s="590">
        <v>-1.7036279999999994E-2</v>
      </c>
      <c r="J32" s="590">
        <v>-1.7036279999999994E-2</v>
      </c>
      <c r="K32" s="683">
        <v>-1.7036279999999994E-2</v>
      </c>
    </row>
    <row r="33" spans="2:14">
      <c r="B33" s="212"/>
      <c r="D33" s="225" t="s">
        <v>665</v>
      </c>
      <c r="E33" s="226" t="s">
        <v>665</v>
      </c>
      <c r="F33" s="226" t="s">
        <v>665</v>
      </c>
      <c r="G33" s="226" t="s">
        <v>665</v>
      </c>
      <c r="H33" s="226" t="s">
        <v>665</v>
      </c>
      <c r="I33" s="226" t="s">
        <v>665</v>
      </c>
      <c r="J33" s="226" t="s">
        <v>665</v>
      </c>
      <c r="K33" s="227" t="s">
        <v>665</v>
      </c>
    </row>
    <row r="34" spans="2:14">
      <c r="D34" s="23"/>
      <c r="E34" s="23"/>
      <c r="F34" s="23"/>
      <c r="G34" s="23"/>
      <c r="H34" s="23"/>
      <c r="I34" s="23"/>
      <c r="J34" s="23"/>
      <c r="K34" s="23"/>
    </row>
    <row r="35" spans="2:14">
      <c r="B35" s="212" t="s">
        <v>534</v>
      </c>
      <c r="C35" s="151" t="s">
        <v>128</v>
      </c>
      <c r="D35" s="585">
        <v>2.6968000000000001</v>
      </c>
      <c r="E35" s="586">
        <v>7.6024000000000003</v>
      </c>
      <c r="F35" s="586">
        <v>14.759650000000001</v>
      </c>
      <c r="G35" s="586">
        <v>9.8387519999999995</v>
      </c>
      <c r="H35" s="586">
        <v>10.682191</v>
      </c>
      <c r="I35" s="586">
        <v>8.1696318599999991</v>
      </c>
      <c r="J35" s="586">
        <v>10.4162806215</v>
      </c>
      <c r="K35" s="682">
        <v>11.957890153482003</v>
      </c>
    </row>
    <row r="36" spans="2:14">
      <c r="D36" s="23"/>
      <c r="E36" s="23"/>
      <c r="F36" s="23"/>
      <c r="G36" s="23"/>
      <c r="H36" s="23"/>
      <c r="I36" s="23"/>
      <c r="J36" s="23"/>
      <c r="K36" s="23"/>
    </row>
    <row r="37" spans="2:14">
      <c r="B37" s="212" t="s">
        <v>82</v>
      </c>
      <c r="C37" s="151" t="s">
        <v>128</v>
      </c>
      <c r="D37" s="878">
        <v>13.445452747614338</v>
      </c>
      <c r="E37" s="878">
        <v>28.951136881414033</v>
      </c>
      <c r="F37" s="878">
        <v>50.084286458613271</v>
      </c>
      <c r="G37" s="878">
        <v>41.13664083881855</v>
      </c>
      <c r="H37" s="878">
        <v>38.26465275053927</v>
      </c>
      <c r="I37" s="878">
        <v>27.378755676975324</v>
      </c>
      <c r="J37" s="878">
        <v>34.381500942980203</v>
      </c>
      <c r="K37" s="878">
        <v>43.119646164208675</v>
      </c>
      <c r="N37" s="321"/>
    </row>
    <row r="38" spans="2:14" s="31" customFormat="1">
      <c r="B38" s="211"/>
      <c r="C38" s="821"/>
      <c r="D38" s="823"/>
      <c r="E38" s="823"/>
      <c r="F38" s="823"/>
      <c r="G38" s="823"/>
      <c r="H38" s="823"/>
      <c r="I38" s="823"/>
      <c r="J38" s="823"/>
      <c r="K38" s="823"/>
      <c r="L38"/>
      <c r="M38"/>
      <c r="N38" s="822"/>
    </row>
    <row r="39" spans="2:14">
      <c r="B39" s="212" t="s">
        <v>485</v>
      </c>
      <c r="C39" s="151" t="s">
        <v>128</v>
      </c>
      <c r="D39" s="101">
        <v>47.461990702385677</v>
      </c>
      <c r="E39" s="101">
        <v>37.798966518585985</v>
      </c>
      <c r="F39" s="101">
        <v>25.514810691386721</v>
      </c>
      <c r="G39" s="101">
        <v>29.27144669118141</v>
      </c>
      <c r="H39" s="101">
        <v>34.602031959460732</v>
      </c>
      <c r="I39" s="101">
        <v>45.603317813961617</v>
      </c>
      <c r="J39" s="101">
        <v>40.849986879063472</v>
      </c>
      <c r="K39" s="101">
        <v>37.865733997296687</v>
      </c>
    </row>
    <row r="40" spans="2:14">
      <c r="B40" s="212"/>
      <c r="C40" s="151"/>
      <c r="D40" s="151"/>
      <c r="E40" s="151"/>
      <c r="F40" s="151"/>
      <c r="G40" s="151"/>
      <c r="H40" s="151"/>
      <c r="I40" s="151"/>
      <c r="J40" s="151"/>
      <c r="K40" s="151"/>
      <c r="L40" s="151"/>
      <c r="N40" s="321"/>
    </row>
    <row r="41" spans="2:14">
      <c r="B41" s="850" t="s">
        <v>375</v>
      </c>
      <c r="C41" s="151" t="s">
        <v>127</v>
      </c>
      <c r="D41" s="504">
        <v>1.0603167467048125</v>
      </c>
      <c r="E41" s="504">
        <v>1.0830366813119445</v>
      </c>
      <c r="F41" s="504">
        <v>1.1235639113109226</v>
      </c>
      <c r="G41" s="504">
        <v>1.1578951670583426</v>
      </c>
      <c r="H41" s="504">
        <v>1.1878696229692449</v>
      </c>
      <c r="I41" s="504">
        <v>1.2080634065597218</v>
      </c>
      <c r="J41" s="504">
        <v>1.2337347539491161</v>
      </c>
      <c r="K41" s="504">
        <v>1.2655034238633056</v>
      </c>
      <c r="L41" s="151"/>
      <c r="N41" s="321"/>
    </row>
    <row r="42" spans="2:14">
      <c r="L42" s="154"/>
      <c r="M42" s="154"/>
      <c r="N42" s="154"/>
    </row>
    <row r="43" spans="2:14">
      <c r="B43" s="832" t="s">
        <v>431</v>
      </c>
      <c r="C43" s="155" t="s">
        <v>159</v>
      </c>
      <c r="D43" s="144">
        <v>44.762087225242034</v>
      </c>
      <c r="E43" s="145">
        <v>34.90091071781422</v>
      </c>
      <c r="F43" s="145">
        <v>22.708820063130378</v>
      </c>
      <c r="G43" s="145">
        <v>25.279876385999732</v>
      </c>
      <c r="H43" s="145">
        <v>29.129486342927226</v>
      </c>
      <c r="I43" s="145">
        <v>37.74910949734754</v>
      </c>
      <c r="J43" s="145">
        <v>33.11083419536083</v>
      </c>
      <c r="K43" s="146">
        <v>29.921478901811952</v>
      </c>
      <c r="L43" s="688">
        <v>156.78118073511359</v>
      </c>
      <c r="M43" s="689">
        <v>257.56260332963393</v>
      </c>
    </row>
    <row r="44" spans="2:14">
      <c r="B44" s="212"/>
      <c r="C44" s="66"/>
      <c r="D44" s="804"/>
      <c r="E44" s="804"/>
      <c r="F44" s="804"/>
      <c r="G44" s="804"/>
      <c r="H44" s="804"/>
      <c r="I44" s="804"/>
      <c r="J44" s="804"/>
      <c r="K44" s="804"/>
      <c r="L44" s="827"/>
      <c r="M44" s="827"/>
    </row>
    <row r="45" spans="2:14">
      <c r="B45" s="832" t="s">
        <v>522</v>
      </c>
      <c r="C45" s="151"/>
      <c r="D45" s="804"/>
      <c r="E45" s="804"/>
      <c r="F45" s="804"/>
      <c r="G45" s="804"/>
      <c r="H45" s="804"/>
      <c r="I45" s="804"/>
      <c r="J45" s="804"/>
      <c r="K45" s="804"/>
      <c r="L45" s="827"/>
      <c r="M45" s="827"/>
    </row>
    <row r="46" spans="2:14">
      <c r="B46" s="368" t="s">
        <v>506</v>
      </c>
      <c r="C46" s="151" t="s">
        <v>128</v>
      </c>
      <c r="D46" s="877">
        <v>-0.43448900000000001</v>
      </c>
      <c r="E46" s="877">
        <v>-1.0665172000000001</v>
      </c>
      <c r="F46" s="877">
        <v>-1.8866000000000001</v>
      </c>
      <c r="G46" s="877">
        <v>-1.8839218</v>
      </c>
      <c r="H46" s="877">
        <v>-1.6908133000000001</v>
      </c>
      <c r="I46" s="877">
        <v>-1.5114050779113712</v>
      </c>
      <c r="J46" s="877">
        <v>-1.5114050779113617</v>
      </c>
      <c r="K46" s="877">
        <v>-1.4522241771970805</v>
      </c>
      <c r="L46" s="688">
        <v>-6.9623413000000003</v>
      </c>
      <c r="M46" s="688">
        <v>-11.437375633019816</v>
      </c>
    </row>
    <row r="47" spans="2:14">
      <c r="B47" s="368" t="s">
        <v>543</v>
      </c>
      <c r="C47" s="151" t="s">
        <v>128</v>
      </c>
      <c r="D47" s="386"/>
      <c r="E47" s="387"/>
      <c r="F47" s="387"/>
      <c r="G47" s="680"/>
      <c r="H47" s="680"/>
      <c r="I47" s="680">
        <v>0</v>
      </c>
      <c r="J47" s="680">
        <v>0</v>
      </c>
      <c r="K47" s="680">
        <v>0.15800666666666666</v>
      </c>
      <c r="L47" s="688">
        <v>0</v>
      </c>
      <c r="M47" s="688">
        <v>0.15800666666666666</v>
      </c>
    </row>
    <row r="48" spans="2:14">
      <c r="B48" s="368" t="s">
        <v>525</v>
      </c>
      <c r="C48" s="151" t="s">
        <v>128</v>
      </c>
      <c r="D48" s="877">
        <v>0</v>
      </c>
      <c r="E48" s="877">
        <v>0</v>
      </c>
      <c r="F48" s="877">
        <v>0</v>
      </c>
      <c r="G48" s="877">
        <v>0</v>
      </c>
      <c r="H48" s="877">
        <v>0</v>
      </c>
      <c r="I48" s="877">
        <v>0</v>
      </c>
      <c r="J48" s="877">
        <v>0</v>
      </c>
      <c r="K48" s="877">
        <v>0</v>
      </c>
      <c r="L48" s="688">
        <v>0</v>
      </c>
      <c r="M48" s="688">
        <v>0</v>
      </c>
    </row>
    <row r="49" spans="1:14">
      <c r="B49" s="368" t="s">
        <v>526</v>
      </c>
      <c r="C49" s="151" t="s">
        <v>128</v>
      </c>
      <c r="D49" s="877">
        <v>0</v>
      </c>
      <c r="E49" s="877">
        <v>0</v>
      </c>
      <c r="F49" s="877">
        <v>0</v>
      </c>
      <c r="G49" s="877">
        <v>0</v>
      </c>
      <c r="H49" s="877">
        <v>0</v>
      </c>
      <c r="I49" s="877">
        <v>0</v>
      </c>
      <c r="J49" s="877">
        <v>0</v>
      </c>
      <c r="K49" s="877">
        <v>0</v>
      </c>
      <c r="L49" s="688">
        <v>0</v>
      </c>
      <c r="M49" s="688">
        <v>0</v>
      </c>
    </row>
    <row r="50" spans="1:14">
      <c r="B50" s="368" t="s">
        <v>507</v>
      </c>
      <c r="C50" s="151" t="s">
        <v>128</v>
      </c>
      <c r="D50" s="877">
        <v>0</v>
      </c>
      <c r="E50" s="877">
        <v>0</v>
      </c>
      <c r="F50" s="877">
        <v>0</v>
      </c>
      <c r="G50" s="877">
        <v>0</v>
      </c>
      <c r="H50" s="877">
        <v>0</v>
      </c>
      <c r="I50" s="877">
        <v>0</v>
      </c>
      <c r="J50" s="877">
        <v>0</v>
      </c>
      <c r="K50" s="877">
        <v>0</v>
      </c>
      <c r="L50" s="688">
        <v>0</v>
      </c>
      <c r="M50" s="688">
        <v>0</v>
      </c>
    </row>
    <row r="51" spans="1:14">
      <c r="B51" s="368" t="s">
        <v>507</v>
      </c>
      <c r="C51" s="151" t="s">
        <v>128</v>
      </c>
      <c r="D51" s="877">
        <v>0</v>
      </c>
      <c r="E51" s="877">
        <v>0</v>
      </c>
      <c r="F51" s="877">
        <v>0</v>
      </c>
      <c r="G51" s="877">
        <v>0</v>
      </c>
      <c r="H51" s="877">
        <v>0</v>
      </c>
      <c r="I51" s="877">
        <v>0</v>
      </c>
      <c r="J51" s="877">
        <v>0</v>
      </c>
      <c r="K51" s="877">
        <v>0</v>
      </c>
      <c r="L51" s="688">
        <v>0</v>
      </c>
      <c r="M51" s="688">
        <v>0</v>
      </c>
    </row>
    <row r="52" spans="1:14">
      <c r="B52" s="368" t="s">
        <v>507</v>
      </c>
      <c r="C52" s="151" t="s">
        <v>128</v>
      </c>
      <c r="D52" s="877">
        <v>0</v>
      </c>
      <c r="E52" s="877">
        <v>0</v>
      </c>
      <c r="F52" s="877">
        <v>0</v>
      </c>
      <c r="G52" s="877">
        <v>0</v>
      </c>
      <c r="H52" s="877">
        <v>0</v>
      </c>
      <c r="I52" s="877">
        <v>0</v>
      </c>
      <c r="J52" s="877">
        <v>0</v>
      </c>
      <c r="K52" s="877">
        <v>0</v>
      </c>
      <c r="L52" s="688">
        <v>0</v>
      </c>
      <c r="M52" s="688">
        <v>0</v>
      </c>
    </row>
    <row r="53" spans="1:14">
      <c r="B53" s="368" t="s">
        <v>507</v>
      </c>
      <c r="C53" s="151" t="s">
        <v>128</v>
      </c>
      <c r="D53" s="877">
        <v>0</v>
      </c>
      <c r="E53" s="877">
        <v>0</v>
      </c>
      <c r="F53" s="877">
        <v>0</v>
      </c>
      <c r="G53" s="877">
        <v>0</v>
      </c>
      <c r="H53" s="877">
        <v>0</v>
      </c>
      <c r="I53" s="877">
        <v>0</v>
      </c>
      <c r="J53" s="877">
        <v>0</v>
      </c>
      <c r="K53" s="877">
        <v>0</v>
      </c>
      <c r="L53" s="688">
        <v>0</v>
      </c>
      <c r="M53" s="688">
        <v>0</v>
      </c>
    </row>
    <row r="54" spans="1:14" s="862" customFormat="1">
      <c r="B54" s="861"/>
      <c r="C54" s="863"/>
      <c r="D54" s="864"/>
      <c r="E54" s="864"/>
      <c r="F54" s="864"/>
      <c r="G54" s="864"/>
      <c r="H54" s="864"/>
      <c r="I54" s="864"/>
      <c r="J54" s="864"/>
      <c r="K54" s="864"/>
      <c r="L54" s="865"/>
      <c r="M54" s="865"/>
    </row>
    <row r="55" spans="1:14">
      <c r="B55" s="856" t="s">
        <v>523</v>
      </c>
      <c r="C55" s="234" t="s">
        <v>128</v>
      </c>
      <c r="D55" s="144">
        <v>-0.43448900000000001</v>
      </c>
      <c r="E55" s="144">
        <v>-1.0665172000000001</v>
      </c>
      <c r="F55" s="144">
        <v>-1.8866000000000001</v>
      </c>
      <c r="G55" s="144">
        <v>-1.8839218</v>
      </c>
      <c r="H55" s="144">
        <v>-1.6908133000000001</v>
      </c>
      <c r="I55" s="144">
        <v>-1.5114050779113712</v>
      </c>
      <c r="J55" s="144">
        <v>-1.5114050779113617</v>
      </c>
      <c r="K55" s="144">
        <v>-1.2942175105304139</v>
      </c>
      <c r="L55" s="688">
        <v>-6.9623413000000003</v>
      </c>
      <c r="M55" s="689">
        <v>-11.279368966353148</v>
      </c>
    </row>
    <row r="56" spans="1:14">
      <c r="B56" s="856" t="s">
        <v>523</v>
      </c>
      <c r="C56" s="155" t="s">
        <v>159</v>
      </c>
      <c r="D56" s="144">
        <v>-0.40977283566469958</v>
      </c>
      <c r="E56" s="144">
        <v>-0.98474707127007599</v>
      </c>
      <c r="F56" s="144">
        <v>-1.6791212150974146</v>
      </c>
      <c r="G56" s="144">
        <v>-1.6270227682063338</v>
      </c>
      <c r="H56" s="144">
        <v>-1.4233997294867913</v>
      </c>
      <c r="I56" s="144">
        <v>-1.2510974752686985</v>
      </c>
      <c r="J56" s="144">
        <v>-1.2250648472643235</v>
      </c>
      <c r="K56" s="144">
        <v>-1.0226898530068378</v>
      </c>
      <c r="L56" s="688">
        <v>-6.1240636197253142</v>
      </c>
      <c r="M56" s="689">
        <v>-9.6229157952651754</v>
      </c>
    </row>
    <row r="57" spans="1:14">
      <c r="B57" s="212"/>
      <c r="C57" s="66"/>
      <c r="D57" s="804"/>
      <c r="E57" s="804"/>
      <c r="F57" s="804"/>
      <c r="G57" s="804"/>
      <c r="H57" s="804"/>
      <c r="I57" s="804"/>
      <c r="J57" s="804"/>
      <c r="K57" s="804"/>
      <c r="L57" s="827"/>
      <c r="M57" s="827"/>
    </row>
    <row r="58" spans="1:14" s="2" customFormat="1">
      <c r="A58" s="1"/>
    </row>
    <row r="59" spans="1:14" s="2" customFormat="1">
      <c r="A59" s="1"/>
      <c r="B59" s="828" t="s">
        <v>441</v>
      </c>
      <c r="C59" s="81"/>
      <c r="D59" s="81"/>
      <c r="E59" s="81"/>
      <c r="F59" s="81"/>
      <c r="G59" s="81"/>
      <c r="H59" s="81"/>
      <c r="I59" s="81"/>
      <c r="J59" s="81"/>
      <c r="K59" s="81"/>
      <c r="L59" s="81"/>
      <c r="M59" s="81"/>
      <c r="N59" s="81"/>
    </row>
    <row r="60" spans="1:14" s="2" customFormat="1">
      <c r="A60" s="1"/>
      <c r="B60" s="367" t="s">
        <v>442</v>
      </c>
    </row>
    <row r="61" spans="1:14" s="2" customFormat="1">
      <c r="A61" s="1"/>
    </row>
    <row r="62" spans="1:14" s="31" customFormat="1">
      <c r="B62" s="212" t="s">
        <v>115</v>
      </c>
      <c r="C62" s="154" t="s">
        <v>7</v>
      </c>
      <c r="D62" s="886">
        <v>0.65</v>
      </c>
      <c r="E62" s="887">
        <v>0.65</v>
      </c>
      <c r="F62" s="887">
        <v>0.65</v>
      </c>
      <c r="G62" s="887">
        <v>0.65</v>
      </c>
      <c r="H62" s="887">
        <v>0.65</v>
      </c>
      <c r="I62" s="887">
        <v>0.65</v>
      </c>
      <c r="J62" s="887">
        <v>0.65</v>
      </c>
      <c r="K62" s="888">
        <v>0.65</v>
      </c>
      <c r="N62" s="822"/>
    </row>
    <row r="63" spans="1:14" s="31" customFormat="1">
      <c r="B63" s="212" t="s">
        <v>404</v>
      </c>
      <c r="C63" s="154" t="s">
        <v>7</v>
      </c>
      <c r="D63" s="887">
        <v>0.63218581115767492</v>
      </c>
      <c r="E63" s="887">
        <v>0.63951474546134746</v>
      </c>
      <c r="F63" s="887">
        <v>0.63348705574790032</v>
      </c>
      <c r="G63" s="887">
        <v>0.60777075481910015</v>
      </c>
      <c r="H63" s="887">
        <v>0.59309842724211403</v>
      </c>
      <c r="I63" s="887">
        <v>0.60958748471123003</v>
      </c>
      <c r="J63" s="887">
        <v>0.63183975660720937</v>
      </c>
      <c r="K63" s="888">
        <v>0.6495283633184078</v>
      </c>
      <c r="N63" s="822"/>
    </row>
    <row r="64" spans="1:14" s="31" customFormat="1">
      <c r="B64" s="212"/>
      <c r="C64" s="154"/>
      <c r="D64" s="154"/>
      <c r="E64" s="154"/>
      <c r="F64" s="154"/>
      <c r="G64" s="154"/>
      <c r="H64" s="154"/>
      <c r="I64" s="154"/>
      <c r="J64" s="154"/>
      <c r="K64" s="154"/>
      <c r="N64" s="822"/>
    </row>
    <row r="65" spans="2:15">
      <c r="B65" s="212" t="s">
        <v>431</v>
      </c>
      <c r="C65" s="151" t="s">
        <v>128</v>
      </c>
      <c r="D65" s="94">
        <v>47.461990702385677</v>
      </c>
      <c r="E65" s="95">
        <v>37.798966518585985</v>
      </c>
      <c r="F65" s="95">
        <v>25.514810691386721</v>
      </c>
      <c r="G65" s="95">
        <v>29.27144669118141</v>
      </c>
      <c r="H65" s="95">
        <v>34.602031959460732</v>
      </c>
      <c r="I65" s="95">
        <v>45.603317813961617</v>
      </c>
      <c r="J65" s="95">
        <v>40.849986879063472</v>
      </c>
      <c r="K65" s="96">
        <v>37.865733997296687</v>
      </c>
      <c r="L65" s="31"/>
      <c r="M65" s="31"/>
    </row>
    <row r="66" spans="2:15" s="31" customFormat="1">
      <c r="B66" s="212" t="s">
        <v>449</v>
      </c>
      <c r="C66" s="151" t="s">
        <v>128</v>
      </c>
      <c r="D66" s="94">
        <v>1.3374182879186758</v>
      </c>
      <c r="E66" s="94">
        <v>0.61973830636143568</v>
      </c>
      <c r="F66" s="94">
        <v>0.66508801202311374</v>
      </c>
      <c r="G66" s="94">
        <v>2.0338443225841991</v>
      </c>
      <c r="H66" s="94">
        <v>3.3197020067433169</v>
      </c>
      <c r="I66" s="94">
        <v>3.0232654452352952</v>
      </c>
      <c r="J66" s="94">
        <v>1.1741041879029375</v>
      </c>
      <c r="K66" s="94">
        <v>2.7495133603248401E-2</v>
      </c>
      <c r="N66" s="822"/>
    </row>
    <row r="67" spans="2:15">
      <c r="B67" s="212" t="s">
        <v>448</v>
      </c>
      <c r="C67" s="151" t="s">
        <v>128</v>
      </c>
      <c r="D67" s="101">
        <v>48.79940899030435</v>
      </c>
      <c r="E67" s="102">
        <v>38.418704824947419</v>
      </c>
      <c r="F67" s="102">
        <v>26.179898703409833</v>
      </c>
      <c r="G67" s="102">
        <v>31.305291013765608</v>
      </c>
      <c r="H67" s="102">
        <v>37.921733966204052</v>
      </c>
      <c r="I67" s="102">
        <v>48.626583259196913</v>
      </c>
      <c r="J67" s="102">
        <v>42.024091066966406</v>
      </c>
      <c r="K67" s="103">
        <v>37.893229130899932</v>
      </c>
      <c r="L67" s="31"/>
      <c r="M67" s="31"/>
    </row>
    <row r="68" spans="2:15">
      <c r="B68" s="212"/>
      <c r="C68" s="151"/>
      <c r="D68" s="151"/>
      <c r="E68" s="151"/>
      <c r="F68" s="151"/>
      <c r="G68" s="151"/>
      <c r="H68" s="151"/>
      <c r="I68" s="151"/>
      <c r="J68" s="151"/>
      <c r="K68" s="151"/>
      <c r="L68" s="151"/>
      <c r="M68" s="151"/>
      <c r="N68" s="151"/>
      <c r="O68" s="151"/>
    </row>
    <row r="69" spans="2:15">
      <c r="B69" s="832" t="s">
        <v>448</v>
      </c>
      <c r="C69" s="155" t="s">
        <v>159</v>
      </c>
      <c r="D69" s="144">
        <v>46.023425681014821</v>
      </c>
      <c r="E69" s="145">
        <v>35.473133540046526</v>
      </c>
      <c r="F69" s="145">
        <v>23.300765038692223</v>
      </c>
      <c r="G69" s="145">
        <v>27.036377648330088</v>
      </c>
      <c r="H69" s="145">
        <v>31.924155002308602</v>
      </c>
      <c r="I69" s="145">
        <v>40.251681323312241</v>
      </c>
      <c r="J69" s="145">
        <v>34.062500819118235</v>
      </c>
      <c r="K69" s="146">
        <v>29.943205538883632</v>
      </c>
      <c r="L69" s="688">
        <v>163.75785691039223</v>
      </c>
      <c r="M69" s="689">
        <v>268.01524459170633</v>
      </c>
    </row>
    <row r="70" spans="2:15">
      <c r="B70" s="370" t="s">
        <v>524</v>
      </c>
      <c r="C70" s="158" t="s">
        <v>159</v>
      </c>
      <c r="D70" s="94">
        <v>-0.42131971088421533</v>
      </c>
      <c r="E70" s="94">
        <v>-1.0008926312774697</v>
      </c>
      <c r="F70" s="94">
        <v>-1.7228904362138375</v>
      </c>
      <c r="G70" s="94">
        <v>-1.7400718789914393</v>
      </c>
      <c r="H70" s="94">
        <v>-1.5599600027074867</v>
      </c>
      <c r="I70" s="94">
        <v>-1.3340388038148199</v>
      </c>
      <c r="J70" s="94">
        <v>-1.260275477120435</v>
      </c>
      <c r="K70" s="94">
        <v>-1.0234324503679537</v>
      </c>
      <c r="L70" s="684">
        <v>-6.4451346600744488</v>
      </c>
      <c r="M70" s="685">
        <v>-10.062881391377658</v>
      </c>
      <c r="N70" s="154"/>
    </row>
    <row r="72" spans="2:15">
      <c r="B72" s="824" t="s">
        <v>318</v>
      </c>
      <c r="C72" s="825"/>
      <c r="D72" s="825"/>
      <c r="E72" s="825"/>
      <c r="F72" s="825"/>
      <c r="G72" s="825"/>
      <c r="H72" s="825"/>
      <c r="I72" s="825"/>
      <c r="J72" s="825"/>
      <c r="K72" s="825"/>
      <c r="L72" s="825"/>
      <c r="M72" s="825"/>
      <c r="N72" s="825"/>
      <c r="O72" s="154"/>
    </row>
    <row r="73" spans="2:15" s="31" customFormat="1">
      <c r="B73" s="826"/>
      <c r="C73" s="66"/>
      <c r="D73" s="66"/>
      <c r="E73" s="66"/>
      <c r="F73" s="66"/>
      <c r="G73" s="66"/>
      <c r="H73" s="66"/>
      <c r="I73" s="66"/>
      <c r="J73" s="66"/>
      <c r="K73" s="66"/>
      <c r="L73" s="66"/>
      <c r="M73" s="66"/>
      <c r="N73" s="66"/>
      <c r="O73" s="66"/>
    </row>
    <row r="74" spans="2:15">
      <c r="B74" s="367" t="s">
        <v>478</v>
      </c>
      <c r="C74" s="366"/>
      <c r="D74" s="366"/>
      <c r="E74" s="366"/>
      <c r="F74" s="366"/>
      <c r="G74" s="366"/>
      <c r="H74" s="366"/>
      <c r="I74" s="366"/>
      <c r="J74" s="366"/>
      <c r="K74" s="366"/>
      <c r="L74" s="366"/>
      <c r="M74" s="366"/>
      <c r="N74" s="366"/>
      <c r="O74" s="154"/>
    </row>
    <row r="75" spans="2:15">
      <c r="B75" s="367" t="s">
        <v>347</v>
      </c>
      <c r="C75" s="366"/>
      <c r="D75" s="366"/>
      <c r="E75" s="366"/>
      <c r="F75" s="366"/>
      <c r="G75" s="366"/>
      <c r="H75" s="366"/>
      <c r="I75" s="366"/>
      <c r="J75" s="366"/>
      <c r="K75" s="366"/>
      <c r="L75" s="366"/>
      <c r="M75" s="366"/>
      <c r="N75" s="366"/>
      <c r="O75" s="154"/>
    </row>
    <row r="76" spans="2:15">
      <c r="B76" s="367" t="s">
        <v>348</v>
      </c>
      <c r="C76" s="366"/>
      <c r="D76" s="366"/>
      <c r="E76" s="366"/>
      <c r="F76" s="366"/>
      <c r="G76" s="366"/>
      <c r="H76" s="366"/>
      <c r="I76" s="366"/>
      <c r="J76" s="366"/>
      <c r="K76" s="366"/>
      <c r="L76" s="366"/>
      <c r="M76" s="366"/>
      <c r="N76" s="366"/>
      <c r="O76" s="154"/>
    </row>
    <row r="77" spans="2:15">
      <c r="B77" s="367" t="s">
        <v>530</v>
      </c>
      <c r="C77" s="366"/>
      <c r="D77" s="366"/>
      <c r="E77" s="366"/>
      <c r="F77" s="366"/>
      <c r="G77" s="366"/>
      <c r="H77" s="366"/>
      <c r="I77" s="366"/>
      <c r="J77" s="366"/>
      <c r="K77" s="366"/>
      <c r="L77" s="366"/>
      <c r="M77" s="366"/>
      <c r="N77" s="366"/>
      <c r="O77" s="154"/>
    </row>
    <row r="78" spans="2:15" s="31" customFormat="1">
      <c r="B78" s="371"/>
      <c r="C78" s="371"/>
      <c r="D78" s="371"/>
      <c r="E78" s="371"/>
      <c r="F78" s="371"/>
      <c r="G78" s="371"/>
      <c r="H78" s="371"/>
      <c r="I78" s="371"/>
      <c r="J78" s="371"/>
      <c r="K78" s="371"/>
      <c r="L78" s="371"/>
      <c r="M78" s="371"/>
      <c r="N78" s="371"/>
      <c r="O78" s="66"/>
    </row>
    <row r="79" spans="2:15">
      <c r="B79" s="370" t="s">
        <v>233</v>
      </c>
      <c r="C79" s="154" t="s">
        <v>159</v>
      </c>
      <c r="D79" s="596">
        <v>31.87043927956455</v>
      </c>
      <c r="E79" s="596">
        <v>30.647143102850269</v>
      </c>
      <c r="F79" s="596">
        <v>29.16016313932526</v>
      </c>
      <c r="G79" s="596">
        <v>25.381920446623901</v>
      </c>
      <c r="H79" s="596">
        <v>21.233268866947576</v>
      </c>
      <c r="I79" s="596">
        <v>14.84818771972615</v>
      </c>
      <c r="J79" s="895"/>
      <c r="K79" s="898"/>
      <c r="L79" s="896"/>
      <c r="M79" s="896"/>
      <c r="O79" s="66"/>
    </row>
    <row r="80" spans="2:15">
      <c r="B80" s="370" t="s">
        <v>317</v>
      </c>
      <c r="C80" s="154" t="s">
        <v>159</v>
      </c>
      <c r="D80" s="686">
        <v>31.870439279564547</v>
      </c>
      <c r="E80" s="687">
        <v>30.648530663989749</v>
      </c>
      <c r="F80" s="687">
        <v>29.109243437644306</v>
      </c>
      <c r="G80" s="687">
        <v>25.287362564742853</v>
      </c>
      <c r="H80" s="687">
        <v>21.158941973863023</v>
      </c>
      <c r="I80" s="687">
        <v>14.791338302783871</v>
      </c>
      <c r="J80" s="687">
        <v>10.667271683241198</v>
      </c>
      <c r="K80" s="897">
        <v>6.546376045182118</v>
      </c>
      <c r="L80" s="899">
        <v>138.07451791980446</v>
      </c>
      <c r="M80" s="899">
        <v>170.07950395101165</v>
      </c>
      <c r="O80" s="66"/>
    </row>
    <row r="81" spans="2:15" s="31" customFormat="1">
      <c r="B81" s="829"/>
      <c r="C81" s="66"/>
      <c r="D81" s="830"/>
      <c r="E81" s="830"/>
      <c r="F81" s="830"/>
      <c r="G81" s="830"/>
      <c r="H81" s="830"/>
      <c r="I81" s="830"/>
      <c r="J81" s="830"/>
      <c r="K81" s="830"/>
      <c r="L81" s="827"/>
      <c r="M81" s="827"/>
      <c r="O81" s="66"/>
    </row>
    <row r="82" spans="2:15" s="31" customFormat="1">
      <c r="B82" s="829"/>
      <c r="C82" s="66"/>
      <c r="D82" s="830"/>
      <c r="E82" s="831"/>
      <c r="F82" s="831"/>
      <c r="G82" s="831"/>
      <c r="H82" s="831"/>
      <c r="I82" s="831"/>
      <c r="J82" s="831"/>
      <c r="K82" s="831"/>
      <c r="L82" s="827"/>
      <c r="M82" s="827"/>
      <c r="O82" s="66"/>
    </row>
    <row r="83" spans="2:15">
      <c r="B83" s="833" t="s">
        <v>432</v>
      </c>
      <c r="C83" s="825"/>
      <c r="D83" s="825"/>
      <c r="E83" s="825"/>
      <c r="F83" s="825"/>
      <c r="G83" s="825"/>
      <c r="H83" s="825"/>
      <c r="I83" s="825"/>
      <c r="J83" s="825"/>
      <c r="K83" s="825"/>
      <c r="L83" s="825"/>
      <c r="M83" s="825"/>
      <c r="N83" s="825"/>
    </row>
    <row r="84" spans="2:15">
      <c r="B84" s="370"/>
      <c r="C84" s="154"/>
      <c r="D84" s="154"/>
      <c r="E84" s="154"/>
      <c r="F84" s="154"/>
      <c r="G84" s="154"/>
      <c r="H84" s="154"/>
      <c r="I84" s="154"/>
      <c r="J84" s="154"/>
      <c r="K84" s="154"/>
      <c r="L84" s="154"/>
      <c r="M84" s="154"/>
      <c r="N84" s="154"/>
    </row>
    <row r="85" spans="2:15">
      <c r="B85" s="851" t="s">
        <v>486</v>
      </c>
      <c r="C85" s="154"/>
      <c r="D85" s="154"/>
      <c r="E85" s="154"/>
      <c r="F85" s="154"/>
      <c r="G85" s="154"/>
      <c r="H85" s="154"/>
      <c r="I85" s="154"/>
      <c r="J85" s="154"/>
      <c r="K85" s="154"/>
      <c r="L85" s="154"/>
      <c r="M85" s="154"/>
      <c r="N85" s="154"/>
    </row>
    <row r="86" spans="2:15">
      <c r="B86" s="212" t="s">
        <v>487</v>
      </c>
      <c r="C86" s="154" t="s">
        <v>159</v>
      </c>
      <c r="D86" s="144">
        <v>-12.481875110012787</v>
      </c>
      <c r="E86" s="144">
        <v>-3.2676329825543946</v>
      </c>
      <c r="F86" s="144">
        <v>8.0795445896113414</v>
      </c>
      <c r="G86" s="144">
        <v>1.6345089469494556</v>
      </c>
      <c r="H86" s="144">
        <v>-6.5471446395774127</v>
      </c>
      <c r="I86" s="144">
        <v>-21.706673719294972</v>
      </c>
      <c r="J86" s="144">
        <v>-21.21849766485531</v>
      </c>
      <c r="K86" s="144">
        <v>-22.352413003622996</v>
      </c>
      <c r="L86" s="688">
        <v>-12.582599195583796</v>
      </c>
      <c r="M86" s="689">
        <v>-77.86018358335707</v>
      </c>
    </row>
    <row r="87" spans="2:15">
      <c r="B87" s="212"/>
    </row>
    <row r="88" spans="2:15">
      <c r="B88" s="212" t="s">
        <v>488</v>
      </c>
      <c r="C88" s="154" t="s">
        <v>159</v>
      </c>
      <c r="D88" s="144">
        <v>-13.731666690566058</v>
      </c>
      <c r="E88" s="144">
        <v>-3.8237102447793063</v>
      </c>
      <c r="F88" s="144">
        <v>7.5313688351659209</v>
      </c>
      <c r="G88" s="144">
        <v>-8.9432045957955619E-3</v>
      </c>
      <c r="H88" s="144">
        <v>-9.2052530257380933</v>
      </c>
      <c r="I88" s="144">
        <v>-24.12630421671355</v>
      </c>
      <c r="J88" s="144">
        <v>-22.134953658756604</v>
      </c>
      <c r="K88" s="144">
        <v>-22.373397043333561</v>
      </c>
      <c r="L88" s="688">
        <v>-19.238204330513334</v>
      </c>
      <c r="M88" s="689">
        <v>-87.872859249317059</v>
      </c>
    </row>
    <row r="89" spans="2:15">
      <c r="B89" s="212"/>
    </row>
    <row r="90" spans="2:15">
      <c r="B90" s="212" t="s">
        <v>489</v>
      </c>
      <c r="C90" s="154" t="s">
        <v>159</v>
      </c>
      <c r="D90" s="144">
        <v>1.2497915805532713</v>
      </c>
      <c r="E90" s="144">
        <v>0.55607726222491172</v>
      </c>
      <c r="F90" s="144">
        <v>0.54817575444542044</v>
      </c>
      <c r="G90" s="144">
        <v>1.6434521515452511</v>
      </c>
      <c r="H90" s="144">
        <v>2.6581083861606807</v>
      </c>
      <c r="I90" s="144">
        <v>2.4196304974185772</v>
      </c>
      <c r="J90" s="144">
        <v>0.91645599390129462</v>
      </c>
      <c r="K90" s="144">
        <v>2.0984039710565838E-2</v>
      </c>
      <c r="L90" s="688">
        <v>6.6556051349295355</v>
      </c>
      <c r="M90" s="689">
        <v>10.012675665959973</v>
      </c>
    </row>
    <row r="91" spans="2:15">
      <c r="B91" s="199"/>
    </row>
  </sheetData>
  <conditionalFormatting sqref="D6:K6">
    <cfRule type="expression" dxfId="48" priority="22">
      <formula>AND(D$5="Actuals",E$5="Forecast")</formula>
    </cfRule>
  </conditionalFormatting>
  <conditionalFormatting sqref="D5:K5">
    <cfRule type="expression" dxfId="47" priority="15">
      <formula>AND(D$5="Actuals",E$5="Forecast")</formula>
    </cfRule>
  </conditionalFormatting>
  <conditionalFormatting sqref="D29:G29 I29:K29">
    <cfRule type="expression" dxfId="46" priority="13">
      <formula>D$5="Forecast"</formula>
    </cfRule>
    <cfRule type="expression" dxfId="45" priority="14">
      <formula>D$5="Actuals"</formula>
    </cfRule>
  </conditionalFormatting>
  <conditionalFormatting sqref="D47:G47">
    <cfRule type="expression" dxfId="44" priority="7">
      <formula>D$5="Forecast"</formula>
    </cfRule>
    <cfRule type="expression" dxfId="43" priority="8">
      <formula>D$5="Actuals"</formula>
    </cfRule>
  </conditionalFormatting>
  <conditionalFormatting sqref="I47:K47">
    <cfRule type="expression" dxfId="42" priority="5">
      <formula>I$5="Forecast"</formula>
    </cfRule>
    <cfRule type="expression" dxfId="41" priority="6">
      <formula>I$5="Actuals"</formula>
    </cfRule>
  </conditionalFormatting>
  <conditionalFormatting sqref="H47">
    <cfRule type="expression" dxfId="40" priority="3">
      <formula>H$5="Forecast"</formula>
    </cfRule>
    <cfRule type="expression" dxfId="39" priority="4">
      <formula>H$5="Actuals"</formula>
    </cfRule>
  </conditionalFormatting>
  <conditionalFormatting sqref="H29">
    <cfRule type="expression" dxfId="38" priority="1">
      <formula>H$5="Forecast"</formula>
    </cfRule>
    <cfRule type="expression" dxfId="37" priority="2">
      <formula>H$5="Actuals"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2"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70" zoomScaleNormal="70" workbookViewId="0">
      <pane ySplit="6" topLeftCell="A7" activePane="bottomLeft" state="frozen"/>
      <selection activeCell="B3" sqref="B3"/>
      <selection pane="bottomLeft" activeCell="H6" sqref="H6"/>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customWidth="1"/>
  </cols>
  <sheetData>
    <row r="1" spans="1:12" s="31" customFormat="1" ht="21">
      <c r="A1" s="905" t="s">
        <v>237</v>
      </c>
      <c r="B1" s="915"/>
      <c r="C1" s="255"/>
      <c r="D1" s="255"/>
      <c r="E1" s="255"/>
      <c r="F1" s="255"/>
      <c r="G1" s="255"/>
      <c r="H1" s="255"/>
      <c r="I1" s="256"/>
      <c r="J1" s="256"/>
      <c r="K1" s="257"/>
      <c r="L1" s="362"/>
    </row>
    <row r="2" spans="1:12" s="31" customFormat="1" ht="21">
      <c r="A2" s="908" t="str">
        <f>'RFPR cover'!C5</f>
        <v>WPD-EMID</v>
      </c>
      <c r="B2" s="900"/>
      <c r="C2" s="29"/>
      <c r="D2" s="29"/>
      <c r="E2" s="29"/>
      <c r="F2" s="29"/>
      <c r="G2" s="29"/>
      <c r="H2" s="29"/>
      <c r="I2" s="27"/>
      <c r="J2" s="27"/>
      <c r="K2" s="27"/>
      <c r="L2" s="122"/>
    </row>
    <row r="3" spans="1:12" s="31" customFormat="1" ht="22.8">
      <c r="A3" s="911">
        <f>'RFPR cover'!C7</f>
        <v>2020</v>
      </c>
      <c r="B3" s="917" t="str">
        <f>'R1 - RoRE'!B3</f>
        <v/>
      </c>
      <c r="C3" s="259"/>
      <c r="D3" s="259"/>
      <c r="E3" s="259"/>
      <c r="F3" s="259"/>
      <c r="G3" s="259"/>
      <c r="H3" s="259"/>
      <c r="I3" s="254"/>
      <c r="J3" s="254"/>
      <c r="K3" s="254"/>
      <c r="L3" s="260"/>
    </row>
    <row r="4" spans="1:12" s="31" customFormat="1" ht="12.75" customHeight="1">
      <c r="A4" s="39"/>
      <c r="B4" s="39"/>
      <c r="C4" s="39"/>
      <c r="D4" s="39"/>
      <c r="E4" s="39"/>
      <c r="F4" s="39"/>
      <c r="G4" s="39"/>
      <c r="H4" s="39"/>
      <c r="I4" s="34"/>
      <c r="J4" s="34"/>
      <c r="K4" s="34"/>
      <c r="L4" s="33"/>
    </row>
    <row r="5" spans="1:12" s="2" customFormat="1">
      <c r="B5" s="3"/>
      <c r="C5" s="3"/>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row>
    <row r="6" spans="1:12" s="2" customFormat="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2" s="2" customFormat="1"/>
    <row r="8" spans="1:12" s="2" customFormat="1">
      <c r="B8" s="212" t="s">
        <v>520</v>
      </c>
      <c r="C8" s="151" t="s">
        <v>128</v>
      </c>
      <c r="D8" s="879">
        <v>145.73176864000001</v>
      </c>
      <c r="E8" s="696">
        <v>-13.7</v>
      </c>
      <c r="F8" s="696">
        <v>113.71084635</v>
      </c>
      <c r="G8" s="696">
        <v>128.41084756999999</v>
      </c>
      <c r="H8" s="696">
        <v>87.969654370000001</v>
      </c>
      <c r="I8" s="696">
        <v>-108.57790481999999</v>
      </c>
      <c r="J8" s="696">
        <v>-1.3186033057275588</v>
      </c>
      <c r="K8" s="696">
        <v>118.10405838711884</v>
      </c>
    </row>
    <row r="9" spans="1:12" s="2" customFormat="1">
      <c r="B9" s="212"/>
    </row>
    <row r="10" spans="1:12">
      <c r="B10" s="212" t="s">
        <v>521</v>
      </c>
      <c r="C10" s="151" t="s">
        <v>128</v>
      </c>
      <c r="D10" s="690">
        <v>-13.7</v>
      </c>
      <c r="E10" s="691">
        <v>113.71084635</v>
      </c>
      <c r="F10" s="691">
        <v>128.41084756999999</v>
      </c>
      <c r="G10" s="691">
        <v>87.969654370000001</v>
      </c>
      <c r="H10" s="691">
        <v>-108.57790481999999</v>
      </c>
      <c r="I10" s="691">
        <v>-1.3186033057275588</v>
      </c>
      <c r="J10" s="691">
        <v>118.10405838711884</v>
      </c>
      <c r="K10" s="692">
        <v>153.27787723414886</v>
      </c>
    </row>
    <row r="11" spans="1:12">
      <c r="B11" s="212" t="s">
        <v>369</v>
      </c>
      <c r="C11" s="151" t="s">
        <v>128</v>
      </c>
      <c r="D11" s="693">
        <v>1182.1908000000001</v>
      </c>
      <c r="E11" s="694">
        <v>1371.6096097900001</v>
      </c>
      <c r="F11" s="694">
        <v>1384.4472709899999</v>
      </c>
      <c r="G11" s="694">
        <v>1392.40041316</v>
      </c>
      <c r="H11" s="694">
        <v>1646.7010157500004</v>
      </c>
      <c r="I11" s="694">
        <v>1653.3592425320887</v>
      </c>
      <c r="J11" s="694">
        <v>1662.2641180756771</v>
      </c>
      <c r="K11" s="695">
        <v>972.76978405196223</v>
      </c>
    </row>
    <row r="12" spans="1:12">
      <c r="B12" s="212" t="s">
        <v>370</v>
      </c>
      <c r="C12" s="151" t="s">
        <v>128</v>
      </c>
      <c r="D12" s="693">
        <v>200</v>
      </c>
      <c r="E12" s="694">
        <v>8.8999989999999993</v>
      </c>
      <c r="F12" s="694">
        <v>6.8099990000000004</v>
      </c>
      <c r="G12" s="694">
        <v>-9.9999999999999995E-7</v>
      </c>
      <c r="H12" s="694">
        <v>0</v>
      </c>
      <c r="I12" s="694">
        <v>0</v>
      </c>
      <c r="J12" s="694">
        <v>0</v>
      </c>
      <c r="K12" s="695">
        <v>0</v>
      </c>
    </row>
    <row r="13" spans="1:12">
      <c r="B13" s="212" t="s">
        <v>371</v>
      </c>
      <c r="C13" s="151" t="s">
        <v>128</v>
      </c>
      <c r="D13" s="693">
        <v>0</v>
      </c>
      <c r="E13" s="694">
        <v>0</v>
      </c>
      <c r="F13" s="694">
        <v>0</v>
      </c>
      <c r="G13" s="694">
        <v>0</v>
      </c>
      <c r="H13" s="694">
        <v>0</v>
      </c>
      <c r="I13" s="694">
        <v>0</v>
      </c>
      <c r="J13" s="694">
        <v>0</v>
      </c>
      <c r="K13" s="695">
        <v>0</v>
      </c>
    </row>
    <row r="14" spans="1:12">
      <c r="B14" s="212" t="s">
        <v>372</v>
      </c>
      <c r="C14" s="151" t="s">
        <v>128</v>
      </c>
      <c r="D14" s="693">
        <v>-13.2181</v>
      </c>
      <c r="E14" s="694">
        <v>-5.7278300400000042</v>
      </c>
      <c r="F14" s="694">
        <v>-33.151828200000011</v>
      </c>
      <c r="G14" s="694">
        <v>-12.866880539999999</v>
      </c>
      <c r="H14" s="694">
        <v>1.9008000000000003</v>
      </c>
      <c r="I14" s="694">
        <v>1.9008000000000003</v>
      </c>
      <c r="J14" s="694">
        <v>1.9008000000000003</v>
      </c>
      <c r="K14" s="695">
        <v>1.9008000000000003</v>
      </c>
    </row>
    <row r="15" spans="1:12">
      <c r="B15" s="212" t="s">
        <v>293</v>
      </c>
      <c r="C15" s="151" t="s">
        <v>128</v>
      </c>
      <c r="D15" s="693">
        <v>0</v>
      </c>
      <c r="E15" s="694">
        <v>0</v>
      </c>
      <c r="F15" s="694">
        <v>0</v>
      </c>
      <c r="G15" s="694">
        <v>0</v>
      </c>
      <c r="H15" s="694">
        <v>0</v>
      </c>
      <c r="I15" s="694">
        <v>0</v>
      </c>
      <c r="J15" s="694">
        <v>0</v>
      </c>
      <c r="K15" s="695">
        <v>0</v>
      </c>
    </row>
    <row r="16" spans="1:12">
      <c r="B16" s="212" t="s">
        <v>294</v>
      </c>
      <c r="C16" s="151" t="s">
        <v>128</v>
      </c>
      <c r="D16" s="693">
        <v>0</v>
      </c>
      <c r="E16" s="694">
        <v>0</v>
      </c>
      <c r="F16" s="694">
        <v>0</v>
      </c>
      <c r="G16" s="694">
        <v>0</v>
      </c>
      <c r="H16" s="694">
        <v>0</v>
      </c>
      <c r="I16" s="694">
        <v>0</v>
      </c>
      <c r="J16" s="694">
        <v>0</v>
      </c>
      <c r="K16" s="695">
        <v>0</v>
      </c>
    </row>
    <row r="17" spans="2:13">
      <c r="B17" s="212" t="s">
        <v>298</v>
      </c>
      <c r="C17" s="151" t="s">
        <v>128</v>
      </c>
      <c r="D17" s="693">
        <v>0</v>
      </c>
      <c r="E17" s="694">
        <v>0</v>
      </c>
      <c r="F17" s="694">
        <v>0</v>
      </c>
      <c r="G17" s="694">
        <v>2.7360000000000002</v>
      </c>
      <c r="H17" s="694">
        <v>0</v>
      </c>
      <c r="I17" s="694">
        <v>0</v>
      </c>
      <c r="J17" s="694">
        <v>0</v>
      </c>
      <c r="K17" s="695">
        <v>0</v>
      </c>
    </row>
    <row r="18" spans="2:13">
      <c r="B18" s="212" t="s">
        <v>299</v>
      </c>
      <c r="C18" s="151" t="s">
        <v>128</v>
      </c>
      <c r="D18" s="693">
        <v>0</v>
      </c>
      <c r="E18" s="694">
        <v>0</v>
      </c>
      <c r="F18" s="694">
        <v>0</v>
      </c>
      <c r="G18" s="694">
        <v>0</v>
      </c>
      <c r="H18" s="694">
        <v>0</v>
      </c>
      <c r="I18" s="694">
        <v>0</v>
      </c>
      <c r="J18" s="694">
        <v>0</v>
      </c>
      <c r="K18" s="695">
        <v>0</v>
      </c>
    </row>
    <row r="19" spans="2:13">
      <c r="B19" s="212" t="s">
        <v>300</v>
      </c>
      <c r="C19" s="151" t="s">
        <v>128</v>
      </c>
      <c r="D19" s="693">
        <v>0</v>
      </c>
      <c r="E19" s="694">
        <v>0</v>
      </c>
      <c r="F19" s="694">
        <v>0</v>
      </c>
      <c r="G19" s="694">
        <v>0</v>
      </c>
      <c r="H19" s="694">
        <v>0</v>
      </c>
      <c r="I19" s="694">
        <v>0</v>
      </c>
      <c r="J19" s="694">
        <v>0</v>
      </c>
      <c r="K19" s="695">
        <v>0</v>
      </c>
    </row>
    <row r="20" spans="2:13">
      <c r="B20" s="212" t="s">
        <v>301</v>
      </c>
      <c r="C20" s="151" t="s">
        <v>128</v>
      </c>
      <c r="D20" s="693">
        <v>0</v>
      </c>
      <c r="E20" s="694">
        <v>0</v>
      </c>
      <c r="F20" s="694">
        <v>0</v>
      </c>
      <c r="G20" s="694">
        <v>0</v>
      </c>
      <c r="H20" s="694">
        <v>0</v>
      </c>
      <c r="I20" s="694">
        <v>0</v>
      </c>
      <c r="J20" s="694">
        <v>0</v>
      </c>
      <c r="K20" s="695">
        <v>0</v>
      </c>
    </row>
    <row r="21" spans="2:13">
      <c r="B21" s="212" t="s">
        <v>302</v>
      </c>
      <c r="C21" s="151" t="s">
        <v>128</v>
      </c>
      <c r="D21" s="693">
        <v>0</v>
      </c>
      <c r="E21" s="694">
        <v>0</v>
      </c>
      <c r="F21" s="694">
        <v>0</v>
      </c>
      <c r="G21" s="694">
        <v>0</v>
      </c>
      <c r="H21" s="694">
        <v>0</v>
      </c>
      <c r="I21" s="694">
        <v>0</v>
      </c>
      <c r="J21" s="694">
        <v>0</v>
      </c>
      <c r="K21" s="695">
        <v>0</v>
      </c>
    </row>
    <row r="22" spans="2:13">
      <c r="B22" s="212" t="s">
        <v>303</v>
      </c>
      <c r="C22" s="151" t="s">
        <v>128</v>
      </c>
      <c r="D22" s="693">
        <v>0</v>
      </c>
      <c r="E22" s="694">
        <v>0</v>
      </c>
      <c r="F22" s="694">
        <v>0</v>
      </c>
      <c r="G22" s="694">
        <v>0</v>
      </c>
      <c r="H22" s="694">
        <v>0</v>
      </c>
      <c r="I22" s="694">
        <v>0</v>
      </c>
      <c r="J22" s="694">
        <v>0</v>
      </c>
      <c r="K22" s="695">
        <v>0</v>
      </c>
    </row>
    <row r="23" spans="2:13">
      <c r="B23" s="14" t="s">
        <v>319</v>
      </c>
      <c r="C23" s="234" t="s">
        <v>128</v>
      </c>
      <c r="D23" s="696">
        <v>1355.2727</v>
      </c>
      <c r="E23" s="696">
        <v>1488.4926251000002</v>
      </c>
      <c r="F23" s="696">
        <v>1486.51628936</v>
      </c>
      <c r="G23" s="696">
        <v>1470.2391859899999</v>
      </c>
      <c r="H23" s="696">
        <v>1540.0239109300003</v>
      </c>
      <c r="I23" s="696">
        <v>1653.9414392263611</v>
      </c>
      <c r="J23" s="696">
        <v>1782.2689764627958</v>
      </c>
      <c r="K23" s="697">
        <v>1127.9484612861111</v>
      </c>
      <c r="L23" s="2"/>
      <c r="M23" s="322"/>
    </row>
    <row r="24" spans="2:13">
      <c r="B24" s="14"/>
      <c r="C24" s="151"/>
      <c r="D24" s="238"/>
      <c r="E24" s="238"/>
      <c r="F24" s="238"/>
      <c r="G24" s="238"/>
      <c r="H24" s="238"/>
      <c r="I24" s="238"/>
      <c r="J24" s="238"/>
      <c r="K24" s="238"/>
      <c r="L24" s="2"/>
      <c r="M24" s="2"/>
    </row>
    <row r="25" spans="2:13">
      <c r="B25" s="14" t="s">
        <v>123</v>
      </c>
      <c r="C25" s="16"/>
      <c r="D25" s="239"/>
      <c r="E25" s="239"/>
      <c r="F25" s="239"/>
      <c r="G25" s="239"/>
      <c r="H25" s="239"/>
      <c r="I25" s="239"/>
      <c r="J25" s="239"/>
      <c r="K25" s="239"/>
      <c r="L25" s="2"/>
      <c r="M25" s="2"/>
    </row>
    <row r="26" spans="2:13">
      <c r="B26" s="368" t="s">
        <v>532</v>
      </c>
      <c r="C26" s="151" t="s">
        <v>128</v>
      </c>
      <c r="D26" s="346">
        <v>5.2732502700000001</v>
      </c>
      <c r="E26" s="346">
        <v>4.9893867099999998</v>
      </c>
      <c r="F26" s="346">
        <v>4.5458999999999996</v>
      </c>
      <c r="G26" s="346">
        <v>4.0690884799999996</v>
      </c>
      <c r="H26" s="346">
        <v>4.9035268900000002</v>
      </c>
      <c r="I26" s="346">
        <v>3.1110759211761532</v>
      </c>
      <c r="J26" s="346">
        <v>2.6298845623523071</v>
      </c>
      <c r="K26" s="346">
        <v>2.2220928649570322</v>
      </c>
      <c r="L26" s="2"/>
      <c r="M26" s="2"/>
    </row>
    <row r="27" spans="2:13">
      <c r="B27" s="368" t="s">
        <v>8</v>
      </c>
      <c r="C27" s="151" t="s">
        <v>128</v>
      </c>
      <c r="D27" s="346">
        <v>0</v>
      </c>
      <c r="E27" s="378">
        <v>0</v>
      </c>
      <c r="F27" s="378">
        <v>0</v>
      </c>
      <c r="G27" s="378">
        <v>0</v>
      </c>
      <c r="H27" s="378">
        <v>0</v>
      </c>
      <c r="I27" s="378">
        <v>0</v>
      </c>
      <c r="J27" s="378">
        <v>0</v>
      </c>
      <c r="K27" s="382">
        <v>0</v>
      </c>
      <c r="L27" s="35"/>
      <c r="M27" s="35"/>
    </row>
    <row r="28" spans="2:13">
      <c r="B28" s="368" t="s">
        <v>9</v>
      </c>
      <c r="C28" s="151" t="s">
        <v>128</v>
      </c>
      <c r="D28" s="346">
        <v>0</v>
      </c>
      <c r="E28" s="378">
        <v>0</v>
      </c>
      <c r="F28" s="378">
        <v>0</v>
      </c>
      <c r="G28" s="378">
        <v>0</v>
      </c>
      <c r="H28" s="378">
        <v>0</v>
      </c>
      <c r="I28" s="378">
        <v>0</v>
      </c>
      <c r="J28" s="378">
        <v>0</v>
      </c>
      <c r="K28" s="382">
        <v>0</v>
      </c>
      <c r="L28" s="35"/>
      <c r="M28" s="35"/>
    </row>
    <row r="29" spans="2:13">
      <c r="B29" s="368" t="s">
        <v>10</v>
      </c>
      <c r="C29" s="151" t="s">
        <v>128</v>
      </c>
      <c r="D29" s="346">
        <v>0</v>
      </c>
      <c r="E29" s="378">
        <v>0</v>
      </c>
      <c r="F29" s="378">
        <v>0</v>
      </c>
      <c r="G29" s="378">
        <v>0</v>
      </c>
      <c r="H29" s="378">
        <v>0</v>
      </c>
      <c r="I29" s="378">
        <v>0</v>
      </c>
      <c r="J29" s="378">
        <v>0</v>
      </c>
      <c r="K29" s="382">
        <v>0</v>
      </c>
      <c r="L29" s="35"/>
      <c r="M29" s="35"/>
    </row>
    <row r="30" spans="2:13">
      <c r="B30" s="368" t="s">
        <v>612</v>
      </c>
      <c r="C30" s="151" t="s">
        <v>128</v>
      </c>
      <c r="D30" s="346">
        <v>-17.325270970000002</v>
      </c>
      <c r="E30" s="378">
        <v>-53.396275639999999</v>
      </c>
      <c r="F30" s="378">
        <v>-51.033200000000001</v>
      </c>
      <c r="G30" s="378">
        <v>-48.670099640000004</v>
      </c>
      <c r="H30" s="378">
        <v>-43.122949640000002</v>
      </c>
      <c r="I30" s="378">
        <v>-43.921787209091534</v>
      </c>
      <c r="J30" s="378">
        <v>-41.536562778183075</v>
      </c>
      <c r="K30" s="382">
        <v>-39.283918909417473</v>
      </c>
    </row>
    <row r="31" spans="2:13">
      <c r="B31" s="368" t="s">
        <v>613</v>
      </c>
      <c r="C31" s="151" t="s">
        <v>128</v>
      </c>
      <c r="D31" s="346">
        <v>13.2181</v>
      </c>
      <c r="E31" s="378">
        <v>5.7278471800000013</v>
      </c>
      <c r="F31" s="378">
        <v>33.151899999999998</v>
      </c>
      <c r="G31" s="378">
        <v>12.866880539999995</v>
      </c>
      <c r="H31" s="378">
        <v>-1.9008446000000001</v>
      </c>
      <c r="I31" s="378">
        <v>-1.9008000000000003</v>
      </c>
      <c r="J31" s="378">
        <v>-1.9008000000000003</v>
      </c>
      <c r="K31" s="382">
        <v>-1.9008000000000003</v>
      </c>
    </row>
    <row r="32" spans="2:13" ht="12.75" customHeight="1">
      <c r="B32" s="368" t="s">
        <v>614</v>
      </c>
      <c r="C32" s="151" t="s">
        <v>128</v>
      </c>
      <c r="D32" s="346">
        <v>0.47678995000000002</v>
      </c>
      <c r="E32" s="378">
        <v>0.37342432000000003</v>
      </c>
      <c r="F32" s="378">
        <v>0</v>
      </c>
      <c r="G32" s="378">
        <v>2.3349441500000001</v>
      </c>
      <c r="H32" s="378">
        <v>1.78858899</v>
      </c>
      <c r="I32" s="378">
        <v>1.7885889899999996</v>
      </c>
      <c r="J32" s="378">
        <v>1.7885889899999996</v>
      </c>
      <c r="K32" s="382">
        <v>1.7885889899999996</v>
      </c>
    </row>
    <row r="33" spans="2:12">
      <c r="B33" s="368" t="s">
        <v>615</v>
      </c>
      <c r="C33" s="151" t="s">
        <v>128</v>
      </c>
      <c r="D33" s="346">
        <v>0</v>
      </c>
      <c r="E33" s="378">
        <v>0</v>
      </c>
      <c r="F33" s="378">
        <v>0</v>
      </c>
      <c r="G33" s="378">
        <v>-2.7360000000000002</v>
      </c>
      <c r="H33" s="378">
        <v>0</v>
      </c>
      <c r="I33" s="378">
        <v>0</v>
      </c>
      <c r="J33" s="378">
        <v>0</v>
      </c>
      <c r="K33" s="382">
        <v>0</v>
      </c>
    </row>
    <row r="34" spans="2:12">
      <c r="B34" s="368" t="s">
        <v>357</v>
      </c>
      <c r="C34" s="151" t="s">
        <v>128</v>
      </c>
      <c r="D34" s="346">
        <v>0</v>
      </c>
      <c r="E34" s="378">
        <v>0</v>
      </c>
      <c r="F34" s="378">
        <v>0</v>
      </c>
      <c r="G34" s="378">
        <v>0</v>
      </c>
      <c r="H34" s="378">
        <v>0</v>
      </c>
      <c r="I34" s="378">
        <v>0</v>
      </c>
      <c r="J34" s="378">
        <v>0</v>
      </c>
      <c r="K34" s="382">
        <v>0</v>
      </c>
    </row>
    <row r="35" spans="2:12">
      <c r="B35" s="368" t="s">
        <v>358</v>
      </c>
      <c r="C35" s="151" t="s">
        <v>128</v>
      </c>
      <c r="D35" s="346">
        <v>0</v>
      </c>
      <c r="E35" s="378">
        <v>0</v>
      </c>
      <c r="F35" s="378">
        <v>0</v>
      </c>
      <c r="G35" s="378">
        <v>0</v>
      </c>
      <c r="H35" s="378">
        <v>0</v>
      </c>
      <c r="I35" s="378">
        <v>0</v>
      </c>
      <c r="J35" s="378">
        <v>0</v>
      </c>
      <c r="K35" s="382">
        <v>0</v>
      </c>
    </row>
    <row r="36" spans="2:12">
      <c r="B36" s="368" t="s">
        <v>359</v>
      </c>
      <c r="C36" s="151" t="s">
        <v>128</v>
      </c>
      <c r="D36" s="346">
        <v>0</v>
      </c>
      <c r="E36" s="378">
        <v>0</v>
      </c>
      <c r="F36" s="378">
        <v>0</v>
      </c>
      <c r="G36" s="378">
        <v>0</v>
      </c>
      <c r="H36" s="378">
        <v>0</v>
      </c>
      <c r="I36" s="378">
        <v>0</v>
      </c>
      <c r="J36" s="378">
        <v>0</v>
      </c>
      <c r="K36" s="382">
        <v>0</v>
      </c>
    </row>
    <row r="37" spans="2:12">
      <c r="B37" s="368" t="s">
        <v>360</v>
      </c>
      <c r="C37" s="151" t="s">
        <v>128</v>
      </c>
      <c r="D37" s="346">
        <v>0</v>
      </c>
      <c r="E37" s="378">
        <v>0</v>
      </c>
      <c r="F37" s="378">
        <v>0</v>
      </c>
      <c r="G37" s="378">
        <v>0</v>
      </c>
      <c r="H37" s="378">
        <v>0</v>
      </c>
      <c r="I37" s="378">
        <v>0</v>
      </c>
      <c r="J37" s="378">
        <v>0</v>
      </c>
      <c r="K37" s="382">
        <v>0</v>
      </c>
    </row>
    <row r="38" spans="2:12">
      <c r="B38" s="368" t="s">
        <v>361</v>
      </c>
      <c r="C38" s="151" t="s">
        <v>128</v>
      </c>
      <c r="D38" s="346">
        <v>0</v>
      </c>
      <c r="E38" s="378">
        <v>0</v>
      </c>
      <c r="F38" s="378">
        <v>0</v>
      </c>
      <c r="G38" s="378">
        <v>0</v>
      </c>
      <c r="H38" s="378">
        <v>0</v>
      </c>
      <c r="I38" s="378">
        <v>0</v>
      </c>
      <c r="J38" s="378">
        <v>0</v>
      </c>
      <c r="K38" s="382">
        <v>0</v>
      </c>
    </row>
    <row r="39" spans="2:12">
      <c r="B39" s="368" t="s">
        <v>362</v>
      </c>
      <c r="C39" s="151" t="s">
        <v>128</v>
      </c>
      <c r="D39" s="346">
        <v>0</v>
      </c>
      <c r="E39" s="378">
        <v>0</v>
      </c>
      <c r="F39" s="378">
        <v>0</v>
      </c>
      <c r="G39" s="378">
        <v>0</v>
      </c>
      <c r="H39" s="378">
        <v>0</v>
      </c>
      <c r="I39" s="378">
        <v>0</v>
      </c>
      <c r="J39" s="378">
        <v>0</v>
      </c>
      <c r="K39" s="382">
        <v>0</v>
      </c>
    </row>
    <row r="40" spans="2:12">
      <c r="B40" s="368" t="s">
        <v>363</v>
      </c>
      <c r="C40" s="151" t="s">
        <v>128</v>
      </c>
      <c r="D40" s="346">
        <v>0</v>
      </c>
      <c r="E40" s="378">
        <v>0</v>
      </c>
      <c r="F40" s="378">
        <v>0</v>
      </c>
      <c r="G40" s="378">
        <v>0</v>
      </c>
      <c r="H40" s="378">
        <v>0</v>
      </c>
      <c r="I40" s="378">
        <v>0</v>
      </c>
      <c r="J40" s="378">
        <v>0</v>
      </c>
      <c r="K40" s="382">
        <v>0</v>
      </c>
    </row>
    <row r="41" spans="2:12">
      <c r="B41" s="368" t="s">
        <v>364</v>
      </c>
      <c r="C41" s="151" t="s">
        <v>128</v>
      </c>
      <c r="D41" s="379">
        <v>0</v>
      </c>
      <c r="E41" s="380">
        <v>0</v>
      </c>
      <c r="F41" s="380">
        <v>0</v>
      </c>
      <c r="G41" s="380">
        <v>0</v>
      </c>
      <c r="H41" s="380">
        <v>0</v>
      </c>
      <c r="I41" s="380">
        <v>0</v>
      </c>
      <c r="J41" s="380">
        <v>0</v>
      </c>
      <c r="K41" s="383">
        <v>0</v>
      </c>
    </row>
    <row r="42" spans="2:12">
      <c r="B42" s="198" t="s">
        <v>234</v>
      </c>
      <c r="C42" s="151" t="s">
        <v>128</v>
      </c>
      <c r="D42" s="704">
        <v>1356.9155692500001</v>
      </c>
      <c r="E42" s="704">
        <v>1446.18700767</v>
      </c>
      <c r="F42" s="704">
        <v>1473.18088936</v>
      </c>
      <c r="G42" s="704">
        <v>1438.1039995199997</v>
      </c>
      <c r="H42" s="704">
        <v>1501.6922325700002</v>
      </c>
      <c r="I42" s="704">
        <v>1613.0185169284459</v>
      </c>
      <c r="J42" s="704">
        <v>1743.2500872369653</v>
      </c>
      <c r="K42" s="704">
        <v>1090.7744242316508</v>
      </c>
    </row>
    <row r="43" spans="2:12">
      <c r="B43" s="369" t="s">
        <v>306</v>
      </c>
      <c r="C43" s="151" t="s">
        <v>128</v>
      </c>
      <c r="D43" s="705"/>
      <c r="E43" s="706"/>
      <c r="F43" s="706"/>
      <c r="G43" s="707"/>
      <c r="H43" s="707"/>
      <c r="I43" s="707">
        <v>0</v>
      </c>
      <c r="J43" s="707">
        <v>0</v>
      </c>
      <c r="K43" s="708">
        <v>790.0333333333333</v>
      </c>
    </row>
    <row r="44" spans="2:12">
      <c r="B44" s="345" t="s">
        <v>436</v>
      </c>
      <c r="C44" s="151" t="s">
        <v>128</v>
      </c>
      <c r="D44" s="94">
        <v>1356.9155692500001</v>
      </c>
      <c r="E44" s="95">
        <v>1446.18700767</v>
      </c>
      <c r="F44" s="95">
        <v>1473.18088936</v>
      </c>
      <c r="G44" s="95">
        <v>1438.1039995199997</v>
      </c>
      <c r="H44" s="95">
        <v>1501.6922325700002</v>
      </c>
      <c r="I44" s="95">
        <v>1613.0185169284459</v>
      </c>
      <c r="J44" s="95">
        <v>1743.2500872369653</v>
      </c>
      <c r="K44" s="96">
        <v>1880.8077575649841</v>
      </c>
    </row>
    <row r="45" spans="2:12">
      <c r="D45" s="225" t="s">
        <v>665</v>
      </c>
      <c r="E45" s="226" t="s">
        <v>665</v>
      </c>
      <c r="F45" s="226" t="s">
        <v>665</v>
      </c>
      <c r="G45" s="226" t="s">
        <v>665</v>
      </c>
      <c r="H45" s="226" t="s">
        <v>665</v>
      </c>
      <c r="I45" s="226" t="s">
        <v>665</v>
      </c>
      <c r="J45" s="226" t="s">
        <v>665</v>
      </c>
      <c r="K45" s="227" t="s">
        <v>665</v>
      </c>
    </row>
    <row r="47" spans="2:12">
      <c r="B47" s="820" t="s">
        <v>437</v>
      </c>
      <c r="C47" s="151" t="s">
        <v>128</v>
      </c>
      <c r="D47" s="835">
        <v>1270.8959686400001</v>
      </c>
      <c r="E47" s="95">
        <v>1356.9155692500001</v>
      </c>
      <c r="F47" s="95">
        <v>1446.18700767</v>
      </c>
      <c r="G47" s="95">
        <v>1473.18088936</v>
      </c>
      <c r="H47" s="95">
        <v>1438.1039995199997</v>
      </c>
      <c r="I47" s="95">
        <v>1501.6922325700002</v>
      </c>
      <c r="J47" s="95">
        <v>1613.0185169284459</v>
      </c>
      <c r="K47" s="96">
        <v>1743.2500872369653</v>
      </c>
      <c r="L47" s="819"/>
    </row>
    <row r="48" spans="2:12">
      <c r="B48" s="820" t="s">
        <v>438</v>
      </c>
      <c r="C48" s="151" t="s">
        <v>128</v>
      </c>
      <c r="D48" s="577">
        <v>1356.9155692500001</v>
      </c>
      <c r="E48" s="578">
        <v>1446.18700767</v>
      </c>
      <c r="F48" s="578">
        <v>1473.18088936</v>
      </c>
      <c r="G48" s="578">
        <v>1438.1039995199997</v>
      </c>
      <c r="H48" s="578">
        <v>1501.6922325700002</v>
      </c>
      <c r="I48" s="578">
        <v>1613.0185169284459</v>
      </c>
      <c r="J48" s="578">
        <v>1743.2500872369653</v>
      </c>
      <c r="K48" s="834">
        <v>1880.8077575649841</v>
      </c>
      <c r="L48" s="819"/>
    </row>
    <row r="49" spans="2:13">
      <c r="D49" s="23"/>
      <c r="E49" s="23"/>
      <c r="F49" s="23"/>
      <c r="G49" s="23"/>
      <c r="H49" s="23"/>
      <c r="I49" s="23"/>
      <c r="J49" s="23"/>
      <c r="K49" s="23"/>
    </row>
    <row r="50" spans="2:13">
      <c r="B50" s="14" t="s">
        <v>124</v>
      </c>
    </row>
    <row r="51" spans="2:13">
      <c r="B51" t="s">
        <v>125</v>
      </c>
      <c r="C51" s="479" t="s">
        <v>7</v>
      </c>
      <c r="D51" s="473">
        <v>0</v>
      </c>
      <c r="E51" s="474">
        <v>0</v>
      </c>
      <c r="F51" s="474">
        <v>0</v>
      </c>
      <c r="G51" s="474">
        <v>0</v>
      </c>
      <c r="H51" s="474">
        <v>0</v>
      </c>
      <c r="I51" s="474">
        <v>0</v>
      </c>
      <c r="J51" s="474">
        <v>0</v>
      </c>
      <c r="K51" s="475">
        <v>0</v>
      </c>
    </row>
    <row r="52" spans="2:13">
      <c r="B52" t="s">
        <v>126</v>
      </c>
      <c r="C52" s="479" t="s">
        <v>7</v>
      </c>
      <c r="D52" s="485">
        <v>1</v>
      </c>
      <c r="E52" s="486">
        <v>1</v>
      </c>
      <c r="F52" s="486">
        <v>1</v>
      </c>
      <c r="G52" s="486">
        <v>1</v>
      </c>
      <c r="H52" s="486">
        <v>1</v>
      </c>
      <c r="I52" s="486">
        <v>1</v>
      </c>
      <c r="J52" s="486">
        <v>1</v>
      </c>
      <c r="K52" s="487">
        <v>1</v>
      </c>
    </row>
    <row r="53" spans="2:13">
      <c r="C53" s="819"/>
      <c r="D53" s="819"/>
      <c r="E53" s="819"/>
      <c r="F53" s="819"/>
      <c r="G53" s="819"/>
      <c r="H53" s="819"/>
      <c r="I53" s="819"/>
      <c r="J53" s="819"/>
      <c r="K53" s="819"/>
      <c r="L53" s="819"/>
    </row>
    <row r="54" spans="2:13">
      <c r="B54" s="199" t="s">
        <v>460</v>
      </c>
      <c r="C54" s="265" t="s">
        <v>128</v>
      </c>
      <c r="D54" s="709">
        <v>1313.9057689450001</v>
      </c>
      <c r="E54" s="710">
        <v>1401.55128846</v>
      </c>
      <c r="F54" s="710">
        <v>1459.6839485149999</v>
      </c>
      <c r="G54" s="710">
        <v>1455.64244444</v>
      </c>
      <c r="H54" s="710">
        <v>1469.8981160449998</v>
      </c>
      <c r="I54" s="710">
        <v>1557.3553747492231</v>
      </c>
      <c r="J54" s="710">
        <v>1678.1343020827057</v>
      </c>
      <c r="K54" s="711">
        <v>1812.0289224009748</v>
      </c>
    </row>
    <row r="55" spans="2:13">
      <c r="B55" s="199" t="s">
        <v>272</v>
      </c>
      <c r="C55" s="151" t="s">
        <v>128</v>
      </c>
      <c r="D55" s="698">
        <v>764.44800894024229</v>
      </c>
      <c r="E55" s="699">
        <v>790.03428232917327</v>
      </c>
      <c r="F55" s="699">
        <v>844.52090503435056</v>
      </c>
      <c r="G55" s="699">
        <v>939.40936234406354</v>
      </c>
      <c r="H55" s="699">
        <v>1008.4394558146528</v>
      </c>
      <c r="I55" s="699">
        <v>997.4138976005263</v>
      </c>
      <c r="J55" s="699">
        <v>977.81490740323306</v>
      </c>
      <c r="K55" s="700">
        <v>977.73211766109443</v>
      </c>
    </row>
    <row r="56" spans="2:13">
      <c r="B56" s="199" t="s">
        <v>508</v>
      </c>
      <c r="C56" s="151" t="s">
        <v>128</v>
      </c>
      <c r="D56" s="872">
        <v>2078.3537778852424</v>
      </c>
      <c r="E56" s="872">
        <v>2191.5855707891733</v>
      </c>
      <c r="F56" s="872">
        <v>2304.2048535493504</v>
      </c>
      <c r="G56" s="872">
        <v>2395.0518067840635</v>
      </c>
      <c r="H56" s="872">
        <v>2478.3375718596526</v>
      </c>
      <c r="I56" s="872">
        <v>2554.7692723497494</v>
      </c>
      <c r="J56" s="872">
        <v>2655.9492094859388</v>
      </c>
      <c r="K56" s="872">
        <v>2789.7610400620692</v>
      </c>
    </row>
    <row r="57" spans="2:13">
      <c r="B57" s="199" t="s">
        <v>235</v>
      </c>
      <c r="C57" s="151" t="s">
        <v>7</v>
      </c>
      <c r="D57" s="230">
        <v>0.63218581115767492</v>
      </c>
      <c r="E57" s="231">
        <v>0.63951474546134746</v>
      </c>
      <c r="F57" s="231">
        <v>0.63348705574790032</v>
      </c>
      <c r="G57" s="231">
        <v>0.60777075481910015</v>
      </c>
      <c r="H57" s="231">
        <v>0.59309842724211403</v>
      </c>
      <c r="I57" s="231">
        <v>0.60958748471123003</v>
      </c>
      <c r="J57" s="231">
        <v>0.63183975660720937</v>
      </c>
      <c r="K57" s="232">
        <v>0.6495283633184078</v>
      </c>
    </row>
    <row r="58" spans="2:13">
      <c r="B58" s="199" t="s">
        <v>115</v>
      </c>
      <c r="C58" s="151" t="s">
        <v>7</v>
      </c>
      <c r="D58" s="873">
        <v>0.65</v>
      </c>
      <c r="E58" s="874">
        <v>0.65</v>
      </c>
      <c r="F58" s="874">
        <v>0.65</v>
      </c>
      <c r="G58" s="874">
        <v>0.65</v>
      </c>
      <c r="H58" s="874">
        <v>0.65</v>
      </c>
      <c r="I58" s="874">
        <v>0.65</v>
      </c>
      <c r="J58" s="874">
        <v>0.65</v>
      </c>
      <c r="K58" s="875">
        <v>0.65</v>
      </c>
    </row>
    <row r="59" spans="2:13">
      <c r="B59" s="199" t="s">
        <v>236</v>
      </c>
      <c r="C59" s="151" t="s">
        <v>7</v>
      </c>
      <c r="D59" s="235">
        <v>-1.7814188842325107E-2</v>
      </c>
      <c r="E59" s="236">
        <v>-1.0485254538652566E-2</v>
      </c>
      <c r="F59" s="236">
        <v>-1.6512944252099704E-2</v>
      </c>
      <c r="G59" s="236">
        <v>-4.2229245180899877E-2</v>
      </c>
      <c r="H59" s="236">
        <v>-5.6901572757885988E-2</v>
      </c>
      <c r="I59" s="236">
        <v>-4.041251528876999E-2</v>
      </c>
      <c r="J59" s="236">
        <v>-1.8160243392790654E-2</v>
      </c>
      <c r="K59" s="237">
        <v>-4.716366815922246E-4</v>
      </c>
    </row>
    <row r="61" spans="2:13">
      <c r="B61" s="199" t="s">
        <v>515</v>
      </c>
      <c r="C61" s="154" t="s">
        <v>159</v>
      </c>
      <c r="D61" s="952">
        <v>1215.5679944436163</v>
      </c>
      <c r="E61" s="702">
        <v>1266.9804322136849</v>
      </c>
      <c r="F61" s="702">
        <v>1277.9160720971711</v>
      </c>
      <c r="G61" s="702">
        <v>1237.9314887924302</v>
      </c>
      <c r="H61" s="702">
        <v>1221.9411106918508</v>
      </c>
      <c r="I61" s="702">
        <v>1272.6343982366823</v>
      </c>
      <c r="J61" s="702">
        <v>1346.6546141862325</v>
      </c>
      <c r="K61" s="703">
        <v>1422.0926148140375</v>
      </c>
      <c r="M61" s="321"/>
    </row>
    <row r="62" spans="2:13">
      <c r="B62" s="199" t="s">
        <v>513</v>
      </c>
      <c r="C62" s="154" t="s">
        <v>159</v>
      </c>
      <c r="D62" s="665">
        <v>707.23377204594931</v>
      </c>
      <c r="E62" s="666">
        <v>714.17862816057163</v>
      </c>
      <c r="F62" s="666">
        <v>739.35651540416666</v>
      </c>
      <c r="G62" s="666">
        <v>798.90802508133982</v>
      </c>
      <c r="H62" s="666">
        <v>838.32587799977705</v>
      </c>
      <c r="I62" s="666">
        <v>815.06331563542369</v>
      </c>
      <c r="J62" s="666">
        <v>784.66839944837204</v>
      </c>
      <c r="K62" s="667">
        <v>767.33081166827606</v>
      </c>
      <c r="M62" s="321"/>
    </row>
    <row r="63" spans="2:13">
      <c r="B63" s="199" t="s">
        <v>514</v>
      </c>
      <c r="C63" s="154" t="s">
        <v>159</v>
      </c>
      <c r="D63" s="871">
        <v>1922.8017664895656</v>
      </c>
      <c r="E63" s="871">
        <v>1981.1590603742566</v>
      </c>
      <c r="F63" s="871">
        <v>2017.2725875013377</v>
      </c>
      <c r="G63" s="871">
        <v>2036.8395138737701</v>
      </c>
      <c r="H63" s="871">
        <v>2060.2669886916278</v>
      </c>
      <c r="I63" s="871">
        <v>2087.6977138721059</v>
      </c>
      <c r="J63" s="871">
        <v>2131.3230136346046</v>
      </c>
      <c r="K63" s="871">
        <v>2189.4234264823135</v>
      </c>
    </row>
    <row r="64" spans="2:13">
      <c r="B64" s="199" t="s">
        <v>235</v>
      </c>
      <c r="C64" s="151" t="s">
        <v>7</v>
      </c>
      <c r="D64" s="230">
        <v>0.63218581115767492</v>
      </c>
      <c r="E64" s="231">
        <v>0.63951474546134746</v>
      </c>
      <c r="F64" s="231">
        <v>0.63348705574790032</v>
      </c>
      <c r="G64" s="231">
        <v>0.60777075481910015</v>
      </c>
      <c r="H64" s="231">
        <v>0.59309842724211403</v>
      </c>
      <c r="I64" s="231">
        <v>0.60958748471123003</v>
      </c>
      <c r="J64" s="231">
        <v>0.63183975660720937</v>
      </c>
      <c r="K64" s="232">
        <v>0.6495283633184078</v>
      </c>
    </row>
    <row r="65" spans="2:11">
      <c r="B65" s="199" t="s">
        <v>115</v>
      </c>
      <c r="C65" s="151" t="s">
        <v>7</v>
      </c>
      <c r="D65" s="873">
        <v>0.65</v>
      </c>
      <c r="E65" s="874">
        <v>0.65</v>
      </c>
      <c r="F65" s="874">
        <v>0.65</v>
      </c>
      <c r="G65" s="874">
        <v>0.65</v>
      </c>
      <c r="H65" s="874">
        <v>0.65</v>
      </c>
      <c r="I65" s="874">
        <v>0.65</v>
      </c>
      <c r="J65" s="874">
        <v>0.65</v>
      </c>
      <c r="K65" s="875">
        <v>0.65</v>
      </c>
    </row>
    <row r="66" spans="2:11">
      <c r="B66" s="199" t="s">
        <v>236</v>
      </c>
      <c r="C66" s="151" t="s">
        <v>7</v>
      </c>
      <c r="D66" s="235">
        <v>-1.7814188842325107E-2</v>
      </c>
      <c r="E66" s="236">
        <v>-1.0485254538652566E-2</v>
      </c>
      <c r="F66" s="236">
        <v>-1.6512944252099704E-2</v>
      </c>
      <c r="G66" s="236">
        <v>-4.2229245180899877E-2</v>
      </c>
      <c r="H66" s="236">
        <v>-5.6901572757885988E-2</v>
      </c>
      <c r="I66" s="236">
        <v>-4.041251528876999E-2</v>
      </c>
      <c r="J66" s="236">
        <v>-1.8160243392790654E-2</v>
      </c>
      <c r="K66" s="237">
        <v>-4.716366815922246E-4</v>
      </c>
    </row>
  </sheetData>
  <conditionalFormatting sqref="D6:K6">
    <cfRule type="expression" dxfId="35" priority="18">
      <formula>AND(D$5="Actuals",E$5="Forecast")</formula>
    </cfRule>
  </conditionalFormatting>
  <conditionalFormatting sqref="D5:K5">
    <cfRule type="expression" dxfId="34"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N63"/>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100.08984375" customWidth="1"/>
    <col min="3" max="3" width="14.08984375" style="197" customWidth="1"/>
    <col min="4" max="11" width="11.08984375" customWidth="1"/>
    <col min="12" max="12" width="5" customWidth="1"/>
    <col min="14" max="14" width="9" style="212"/>
  </cols>
  <sheetData>
    <row r="1" spans="1:14" s="31" customFormat="1" ht="21">
      <c r="A1" s="905" t="s">
        <v>120</v>
      </c>
      <c r="B1" s="934"/>
      <c r="C1" s="396"/>
      <c r="D1" s="119"/>
      <c r="E1" s="119"/>
      <c r="F1" s="119"/>
      <c r="G1" s="119"/>
      <c r="H1" s="119"/>
      <c r="I1" s="125"/>
      <c r="J1" s="125"/>
      <c r="K1" s="126"/>
      <c r="L1" s="362"/>
      <c r="N1" s="211"/>
    </row>
    <row r="2" spans="1:14" s="31" customFormat="1" ht="21">
      <c r="A2" s="908" t="str">
        <f>'RFPR cover'!C5</f>
        <v>WPD-EMID</v>
      </c>
      <c r="B2" s="900"/>
      <c r="C2" s="220"/>
      <c r="D2" s="29"/>
      <c r="E2" s="29"/>
      <c r="F2" s="29"/>
      <c r="G2" s="29"/>
      <c r="H2" s="29"/>
      <c r="I2" s="27"/>
      <c r="J2" s="27"/>
      <c r="K2" s="27"/>
      <c r="L2" s="122"/>
      <c r="N2" s="211"/>
    </row>
    <row r="3" spans="1:14" s="31" customFormat="1" ht="21">
      <c r="A3" s="911">
        <f>'RFPR cover'!C7</f>
        <v>2020</v>
      </c>
      <c r="B3" s="918"/>
      <c r="C3" s="397"/>
      <c r="D3" s="259"/>
      <c r="E3" s="259"/>
      <c r="F3" s="259"/>
      <c r="G3" s="259"/>
      <c r="H3" s="259"/>
      <c r="I3" s="254"/>
      <c r="J3" s="254"/>
      <c r="K3" s="254"/>
      <c r="L3" s="260"/>
      <c r="N3" s="211"/>
    </row>
    <row r="4" spans="1:14" s="2" customFormat="1" ht="12.75" customHeight="1">
      <c r="C4" s="1"/>
      <c r="N4" s="128"/>
    </row>
    <row r="5" spans="1:14" s="2" customFormat="1">
      <c r="B5" s="38"/>
      <c r="C5" s="221"/>
      <c r="D5" s="389" t="str">
        <f>IF(D6&lt;='RFPR cover'!$C$7-1,"Actuals","Forecast")</f>
        <v>Actuals</v>
      </c>
      <c r="E5" s="389" t="str">
        <f>IF(E6&lt;='RFPR cover'!$C$7-1,"Actuals","Forecast")</f>
        <v>Actuals</v>
      </c>
      <c r="F5" s="389" t="str">
        <f>IF(F6&lt;='RFPR cover'!$C$7-1,"Actuals","Forecast")</f>
        <v>Actuals</v>
      </c>
      <c r="G5" s="389" t="str">
        <f>IF(G6&lt;='RFPR cover'!$C$7-1,"Actuals","Forecast")</f>
        <v>Actuals</v>
      </c>
      <c r="H5" s="389" t="str">
        <f>IF(H6&lt;='RFPR cover'!$C$7-1,"Actuals","Forecast")</f>
        <v>Forecast</v>
      </c>
      <c r="I5" s="389" t="str">
        <f>IF(I6&lt;='RFPR cover'!$C$7-1,"Actuals","Forecast")</f>
        <v>Forecast</v>
      </c>
      <c r="J5" s="389" t="str">
        <f>IF(J6&lt;='RFPR cover'!$C$7-1,"Actuals","Forecast")</f>
        <v>Forecast</v>
      </c>
      <c r="K5" s="389" t="str">
        <f>IF(K6&lt;='RFPR cover'!$C$7-1,"Actuals","Forecast")</f>
        <v>Forecast</v>
      </c>
      <c r="N5" s="128"/>
    </row>
    <row r="6" spans="1:14" s="2" customFormat="1">
      <c r="C6" s="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c r="N6" s="128"/>
    </row>
    <row r="7" spans="1:14" s="2" customFormat="1">
      <c r="A7" s="35"/>
      <c r="B7" s="35"/>
      <c r="C7" s="319"/>
      <c r="D7" s="428"/>
      <c r="E7" s="428"/>
      <c r="F7" s="428"/>
      <c r="G7" s="428"/>
      <c r="H7" s="428"/>
      <c r="I7" s="428"/>
      <c r="J7" s="428"/>
      <c r="K7" s="428"/>
      <c r="L7" s="35"/>
      <c r="M7" s="35"/>
      <c r="N7" s="224"/>
    </row>
    <row r="8" spans="1:14" s="2" customFormat="1">
      <c r="B8" s="12" t="s">
        <v>323</v>
      </c>
      <c r="N8" s="128"/>
    </row>
    <row r="9" spans="1:14" s="2" customFormat="1">
      <c r="B9" s="367" t="s">
        <v>322</v>
      </c>
      <c r="C9" s="367"/>
      <c r="D9" s="367"/>
      <c r="E9" s="367"/>
      <c r="F9" s="367"/>
      <c r="G9" s="367"/>
      <c r="H9" s="367"/>
      <c r="I9" s="367"/>
      <c r="J9" s="367"/>
      <c r="K9" s="367"/>
      <c r="L9" s="367"/>
      <c r="N9" s="128"/>
    </row>
    <row r="10" spans="1:14" s="35" customFormat="1">
      <c r="B10" s="427"/>
      <c r="C10" s="427"/>
      <c r="D10" s="427"/>
      <c r="E10" s="427"/>
      <c r="F10" s="427"/>
      <c r="G10" s="427"/>
      <c r="H10" s="427"/>
      <c r="I10" s="427"/>
      <c r="J10" s="427"/>
      <c r="K10" s="427"/>
      <c r="L10" s="427"/>
      <c r="N10" s="224"/>
    </row>
    <row r="11" spans="1:14" s="2" customFormat="1">
      <c r="B11" s="199" t="s">
        <v>321</v>
      </c>
      <c r="C11" s="209" t="str">
        <f>'RFPR cover'!$C$14</f>
        <v>£m 12/13</v>
      </c>
      <c r="D11" s="712">
        <v>1991.342207373822</v>
      </c>
      <c r="E11" s="713">
        <v>2045.4305904669595</v>
      </c>
      <c r="F11" s="713">
        <v>2069.6910792987005</v>
      </c>
      <c r="G11" s="713">
        <v>2089.5199647965565</v>
      </c>
      <c r="H11" s="713">
        <v>2112.3146897803658</v>
      </c>
      <c r="I11" s="713">
        <v>2140.4316677360684</v>
      </c>
      <c r="J11" s="713">
        <v>2197.4937963111679</v>
      </c>
      <c r="K11" s="714">
        <v>2247.5472827070935</v>
      </c>
      <c r="N11" s="128"/>
    </row>
    <row r="12" spans="1:14" s="2" customFormat="1">
      <c r="N12" s="128"/>
    </row>
    <row r="13" spans="1:14" s="2" customFormat="1">
      <c r="B13" s="12" t="s">
        <v>324</v>
      </c>
      <c r="C13" s="1"/>
      <c r="D13" s="1"/>
      <c r="E13" s="1"/>
      <c r="F13" s="1"/>
      <c r="G13" s="1"/>
      <c r="H13" s="1"/>
      <c r="I13" s="1"/>
      <c r="J13" s="1"/>
      <c r="K13" s="1"/>
      <c r="N13" s="128"/>
    </row>
    <row r="14" spans="1:14" s="2" customFormat="1">
      <c r="B14" s="367" t="s">
        <v>346</v>
      </c>
      <c r="C14" s="320"/>
      <c r="D14" s="320"/>
      <c r="E14" s="320"/>
      <c r="F14" s="320"/>
      <c r="G14" s="320"/>
      <c r="H14" s="320"/>
      <c r="I14" s="320"/>
      <c r="J14" s="320"/>
      <c r="K14" s="320"/>
      <c r="L14" s="292"/>
      <c r="N14" s="128"/>
    </row>
    <row r="15" spans="1:14" s="35" customFormat="1">
      <c r="B15" s="427"/>
      <c r="C15" s="319"/>
      <c r="D15" s="959"/>
      <c r="E15" s="959"/>
      <c r="F15" s="959"/>
      <c r="G15" s="959"/>
      <c r="H15" s="959"/>
      <c r="I15" s="959"/>
      <c r="J15" s="959"/>
      <c r="K15" s="959"/>
      <c r="N15" s="224"/>
    </row>
    <row r="16" spans="1:14" s="2" customFormat="1">
      <c r="B16" s="391" t="s">
        <v>325</v>
      </c>
      <c r="C16" s="209" t="str">
        <f>'RFPR cover'!$C$14</f>
        <v>£m 12/13</v>
      </c>
      <c r="D16" s="581">
        <v>1928.9624132468739</v>
      </c>
      <c r="E16" s="715">
        <f>D29</f>
        <v>1991.342207373822</v>
      </c>
      <c r="F16" s="715">
        <f t="shared" ref="F16:K16" si="1">E29</f>
        <v>2045.616771214191</v>
      </c>
      <c r="G16" s="715">
        <f t="shared" si="1"/>
        <v>2062.1806369000142</v>
      </c>
      <c r="H16" s="715">
        <f t="shared" si="1"/>
        <v>2081.5287073248828</v>
      </c>
      <c r="I16" s="715">
        <f t="shared" si="1"/>
        <v>2105.61957223118</v>
      </c>
      <c r="J16" s="715">
        <f t="shared" si="1"/>
        <v>2130.8031966128337</v>
      </c>
      <c r="K16" s="584">
        <f t="shared" si="1"/>
        <v>2190.2659834305136</v>
      </c>
      <c r="N16" s="128"/>
    </row>
    <row r="17" spans="2:14" s="2" customFormat="1">
      <c r="B17" s="391" t="s">
        <v>326</v>
      </c>
      <c r="C17" s="209" t="str">
        <f>'RFPR cover'!$C$14</f>
        <v>£m 12/13</v>
      </c>
      <c r="D17" s="589"/>
      <c r="E17" s="590"/>
      <c r="F17" s="590"/>
      <c r="G17" s="590"/>
      <c r="H17" s="590"/>
      <c r="I17" s="590"/>
      <c r="J17" s="590"/>
      <c r="K17" s="683"/>
      <c r="N17" s="128"/>
    </row>
    <row r="18" spans="2:14" s="2" customFormat="1">
      <c r="B18" s="12" t="s">
        <v>327</v>
      </c>
      <c r="C18" s="209" t="str">
        <f>'RFPR cover'!$C$14</f>
        <v>£m 12/13</v>
      </c>
      <c r="D18" s="716">
        <f>SUM(D16:D17)</f>
        <v>1928.9624132468739</v>
      </c>
      <c r="E18" s="717">
        <f t="shared" ref="E18:K18" si="2">SUM(E16:E17)</f>
        <v>1991.342207373822</v>
      </c>
      <c r="F18" s="717">
        <f t="shared" si="2"/>
        <v>2045.616771214191</v>
      </c>
      <c r="G18" s="717">
        <f t="shared" si="2"/>
        <v>2062.1806369000142</v>
      </c>
      <c r="H18" s="717">
        <f t="shared" si="2"/>
        <v>2081.5287073248828</v>
      </c>
      <c r="I18" s="717">
        <f t="shared" si="2"/>
        <v>2105.61957223118</v>
      </c>
      <c r="J18" s="717">
        <f t="shared" si="2"/>
        <v>2130.8031966128337</v>
      </c>
      <c r="K18" s="718">
        <f t="shared" si="2"/>
        <v>2190.2659834305136</v>
      </c>
      <c r="N18" s="128"/>
    </row>
    <row r="19" spans="2:14" s="2" customFormat="1">
      <c r="B19" s="393" t="s">
        <v>328</v>
      </c>
      <c r="C19" s="209" t="str">
        <f>'RFPR cover'!$C$14</f>
        <v>£m 12/13</v>
      </c>
      <c r="D19" s="585">
        <v>229.3582325444109</v>
      </c>
      <c r="E19" s="586">
        <v>226.69548087483719</v>
      </c>
      <c r="F19" s="586">
        <v>200.29326310996569</v>
      </c>
      <c r="G19" s="586">
        <v>197.08777692839317</v>
      </c>
      <c r="H19" s="960">
        <v>199.37518693421271</v>
      </c>
      <c r="I19" s="586">
        <v>201.09933379355309</v>
      </c>
      <c r="J19" s="586">
        <v>214.80139536800152</v>
      </c>
      <c r="K19" s="682">
        <v>210.62822836355235</v>
      </c>
      <c r="N19" s="128"/>
    </row>
    <row r="20" spans="2:14" s="2" customFormat="1">
      <c r="B20" s="393" t="s">
        <v>335</v>
      </c>
      <c r="C20" s="209" t="str">
        <f>'RFPR cover'!$C$14</f>
        <v>£m 12/13</v>
      </c>
      <c r="D20" s="589">
        <v>0</v>
      </c>
      <c r="E20" s="590">
        <v>0</v>
      </c>
      <c r="F20" s="590">
        <v>-7.5102403148474997</v>
      </c>
      <c r="G20" s="590">
        <v>-0.74302796115948311</v>
      </c>
      <c r="H20" s="590">
        <v>2.1370847185809723</v>
      </c>
      <c r="I20" s="590">
        <v>1.5729726548746996</v>
      </c>
      <c r="J20" s="590">
        <v>3.6102420966192001</v>
      </c>
      <c r="K20" s="683">
        <v>3.2118816350198882</v>
      </c>
      <c r="N20" s="128"/>
    </row>
    <row r="21" spans="2:14" s="2" customFormat="1">
      <c r="B21" s="392" t="s">
        <v>331</v>
      </c>
      <c r="C21" s="209" t="str">
        <f>'RFPR cover'!$C$14</f>
        <v>£m 12/13</v>
      </c>
      <c r="D21" s="716">
        <f t="shared" ref="D21:K21" si="3">SUM(D19:D20)</f>
        <v>229.3582325444109</v>
      </c>
      <c r="E21" s="717">
        <f t="shared" si="3"/>
        <v>226.69548087483719</v>
      </c>
      <c r="F21" s="717">
        <f t="shared" si="3"/>
        <v>192.7830227951182</v>
      </c>
      <c r="G21" s="717">
        <f t="shared" si="3"/>
        <v>196.3447489672337</v>
      </c>
      <c r="H21" s="717">
        <f t="shared" si="3"/>
        <v>201.51227165279369</v>
      </c>
      <c r="I21" s="717">
        <f t="shared" si="3"/>
        <v>202.67230644842778</v>
      </c>
      <c r="J21" s="717">
        <f t="shared" si="3"/>
        <v>218.41163746462072</v>
      </c>
      <c r="K21" s="718">
        <f t="shared" si="3"/>
        <v>213.84010999857225</v>
      </c>
      <c r="N21" s="128"/>
    </row>
    <row r="22" spans="2:14" s="2" customFormat="1">
      <c r="B22" s="393" t="s">
        <v>329</v>
      </c>
      <c r="C22" s="209" t="str">
        <f>'RFPR cover'!$C$14</f>
        <v>£m 12/13</v>
      </c>
      <c r="D22" s="585">
        <v>-166.97843841746283</v>
      </c>
      <c r="E22" s="586">
        <v>-172.42091703446837</v>
      </c>
      <c r="F22" s="586">
        <v>-176.21915710929508</v>
      </c>
      <c r="G22" s="586">
        <v>-177.25234629776392</v>
      </c>
      <c r="H22" s="586">
        <v>-177.69993690070035</v>
      </c>
      <c r="I22" s="960">
        <v>-177.70722387800038</v>
      </c>
      <c r="J22" s="960">
        <v>-159.1267996154605</v>
      </c>
      <c r="K22" s="961">
        <v>-160.04888984938455</v>
      </c>
      <c r="N22" s="128"/>
    </row>
    <row r="23" spans="2:14" s="2" customFormat="1">
      <c r="B23" s="393" t="s">
        <v>330</v>
      </c>
      <c r="C23" s="209" t="str">
        <f>'RFPR cover'!$C$14</f>
        <v>£m 12/13</v>
      </c>
      <c r="D23" s="589">
        <v>0</v>
      </c>
      <c r="E23" s="590">
        <v>0</v>
      </c>
      <c r="F23" s="590">
        <v>0</v>
      </c>
      <c r="G23" s="590">
        <v>0.25566775539906383</v>
      </c>
      <c r="H23" s="590">
        <v>0.27853015420397098</v>
      </c>
      <c r="I23" s="590">
        <v>0.21854181122625949</v>
      </c>
      <c r="J23" s="590">
        <v>0.17794896851981562</v>
      </c>
      <c r="K23" s="683">
        <v>9.1734231884133238E-2</v>
      </c>
      <c r="N23" s="128"/>
    </row>
    <row r="24" spans="2:14" s="2" customFormat="1">
      <c r="B24" s="392" t="s">
        <v>332</v>
      </c>
      <c r="C24" s="209" t="str">
        <f>'RFPR cover'!$C$14</f>
        <v>£m 12/13</v>
      </c>
      <c r="D24" s="716">
        <f t="shared" ref="D24:K24" si="4">SUM(D22:D23)</f>
        <v>-166.97843841746283</v>
      </c>
      <c r="E24" s="717">
        <f t="shared" si="4"/>
        <v>-172.42091703446837</v>
      </c>
      <c r="F24" s="717">
        <f t="shared" si="4"/>
        <v>-176.21915710929508</v>
      </c>
      <c r="G24" s="717">
        <f t="shared" si="4"/>
        <v>-176.99667854236486</v>
      </c>
      <c r="H24" s="717">
        <f t="shared" si="4"/>
        <v>-177.42140674649639</v>
      </c>
      <c r="I24" s="717">
        <f t="shared" si="4"/>
        <v>-177.48868206677412</v>
      </c>
      <c r="J24" s="717">
        <f t="shared" si="4"/>
        <v>-158.94885064694068</v>
      </c>
      <c r="K24" s="718">
        <f t="shared" si="4"/>
        <v>-159.9571556175004</v>
      </c>
      <c r="N24" s="128"/>
    </row>
    <row r="25" spans="2:14" s="2" customFormat="1">
      <c r="B25" s="394" t="s">
        <v>268</v>
      </c>
      <c r="C25" s="209" t="str">
        <f>'RFPR cover'!$C$14</f>
        <v>£m 12/13</v>
      </c>
      <c r="D25" s="719"/>
      <c r="E25" s="720"/>
      <c r="F25" s="720"/>
      <c r="G25" s="720"/>
      <c r="H25" s="720"/>
      <c r="I25" s="720"/>
      <c r="J25" s="720"/>
      <c r="K25" s="721"/>
      <c r="N25" s="128"/>
    </row>
    <row r="26" spans="2:14" s="2" customFormat="1">
      <c r="B26" s="394" t="s">
        <v>268</v>
      </c>
      <c r="C26" s="209" t="str">
        <f>'RFPR cover'!$C$14</f>
        <v>£m 12/13</v>
      </c>
      <c r="D26" s="719"/>
      <c r="E26" s="720"/>
      <c r="F26" s="720"/>
      <c r="G26" s="720"/>
      <c r="H26" s="720"/>
      <c r="I26" s="720"/>
      <c r="J26" s="720"/>
      <c r="K26" s="721"/>
      <c r="N26" s="128"/>
    </row>
    <row r="27" spans="2:14" s="2" customFormat="1">
      <c r="B27" s="394" t="s">
        <v>268</v>
      </c>
      <c r="C27" s="209" t="str">
        <f>'RFPR cover'!$C$14</f>
        <v>£m 12/13</v>
      </c>
      <c r="D27" s="719"/>
      <c r="E27" s="720"/>
      <c r="F27" s="720"/>
      <c r="G27" s="720"/>
      <c r="H27" s="720"/>
      <c r="I27" s="720"/>
      <c r="J27" s="720"/>
      <c r="K27" s="721"/>
      <c r="N27" s="128"/>
    </row>
    <row r="28" spans="2:14" s="2" customFormat="1">
      <c r="B28" s="392" t="s">
        <v>333</v>
      </c>
      <c r="C28" s="209" t="str">
        <f>'RFPR cover'!$C$14</f>
        <v>£m 12/13</v>
      </c>
      <c r="D28" s="722">
        <f>SUM(D25:D27)</f>
        <v>0</v>
      </c>
      <c r="E28" s="723">
        <f t="shared" ref="E28:K28" si="5">SUM(E25:E27)</f>
        <v>0</v>
      </c>
      <c r="F28" s="723">
        <f t="shared" si="5"/>
        <v>0</v>
      </c>
      <c r="G28" s="723">
        <f t="shared" si="5"/>
        <v>0</v>
      </c>
      <c r="H28" s="723">
        <f t="shared" si="5"/>
        <v>0</v>
      </c>
      <c r="I28" s="723">
        <f t="shared" si="5"/>
        <v>0</v>
      </c>
      <c r="J28" s="723">
        <f t="shared" si="5"/>
        <v>0</v>
      </c>
      <c r="K28" s="724">
        <f t="shared" si="5"/>
        <v>0</v>
      </c>
      <c r="N28" s="128"/>
    </row>
    <row r="29" spans="2:14" s="2" customFormat="1">
      <c r="B29" s="12" t="s">
        <v>334</v>
      </c>
      <c r="C29" s="209" t="str">
        <f>'RFPR cover'!$C$14</f>
        <v>£m 12/13</v>
      </c>
      <c r="D29" s="725">
        <f>D18+D21+D24+D28</f>
        <v>1991.342207373822</v>
      </c>
      <c r="E29" s="726">
        <f t="shared" ref="E29:K29" si="6">E18+E21+E24+E28</f>
        <v>2045.616771214191</v>
      </c>
      <c r="F29" s="726">
        <f t="shared" si="6"/>
        <v>2062.1806369000142</v>
      </c>
      <c r="G29" s="726">
        <f t="shared" si="6"/>
        <v>2081.5287073248828</v>
      </c>
      <c r="H29" s="726">
        <f t="shared" si="6"/>
        <v>2105.61957223118</v>
      </c>
      <c r="I29" s="726">
        <f t="shared" si="6"/>
        <v>2130.8031966128337</v>
      </c>
      <c r="J29" s="726">
        <f t="shared" si="6"/>
        <v>2190.2659834305136</v>
      </c>
      <c r="K29" s="727">
        <f t="shared" si="6"/>
        <v>2244.1489378115853</v>
      </c>
      <c r="N29" s="128"/>
    </row>
    <row r="30" spans="2:14" s="2" customFormat="1">
      <c r="B30" s="12"/>
      <c r="C30" s="209"/>
      <c r="D30" s="209"/>
      <c r="E30" s="209"/>
      <c r="F30" s="209"/>
      <c r="G30" s="209"/>
      <c r="H30" s="209"/>
      <c r="I30" s="209"/>
      <c r="J30" s="209"/>
      <c r="K30" s="209"/>
      <c r="L30" s="209"/>
      <c r="N30" s="128"/>
    </row>
    <row r="31" spans="2:14" s="2" customFormat="1">
      <c r="B31" s="12" t="s">
        <v>511</v>
      </c>
      <c r="C31" s="209" t="str">
        <f>'RFPR cover'!$C$14</f>
        <v>£m 12/13</v>
      </c>
      <c r="D31" s="725">
        <f t="shared" ref="D31:K31" si="7">(D20+D23+D28)</f>
        <v>0</v>
      </c>
      <c r="E31" s="725">
        <f t="shared" si="7"/>
        <v>0</v>
      </c>
      <c r="F31" s="725">
        <f t="shared" si="7"/>
        <v>-7.5102403148474997</v>
      </c>
      <c r="G31" s="725">
        <f t="shared" si="7"/>
        <v>-0.48736020576041927</v>
      </c>
      <c r="H31" s="725">
        <f t="shared" si="7"/>
        <v>2.4156148727849431</v>
      </c>
      <c r="I31" s="725">
        <f t="shared" si="7"/>
        <v>1.791514466100959</v>
      </c>
      <c r="J31" s="725">
        <f t="shared" si="7"/>
        <v>3.7881910651390158</v>
      </c>
      <c r="K31" s="725">
        <f t="shared" si="7"/>
        <v>3.3036158669040216</v>
      </c>
      <c r="L31" s="209"/>
      <c r="N31" s="128"/>
    </row>
    <row r="32" spans="2:14" s="2" customFormat="1">
      <c r="B32" s="12" t="s">
        <v>512</v>
      </c>
      <c r="C32" s="209"/>
      <c r="D32" s="514" t="str">
        <f>IF(D5="Actuals",IF(ABS((D29-SUM($D$31:D31))-D11)&lt;'RFPR cover'!$F$14,"TRUE","FALSE"),"NA")</f>
        <v>TRUE</v>
      </c>
      <c r="E32" s="514" t="str">
        <f>IF(E5="Actuals",IF(ABS((E29-SUM($D$31:E31))-E11)&lt;'RFPR cover'!$F$14,"TRUE","FALSE"),"NA")</f>
        <v>FALSE</v>
      </c>
      <c r="F32" s="514" t="str">
        <f>IF(F5="Actuals",IF(ABS((F29-SUM($D$31:F31))-F11)&lt;'RFPR cover'!$F$14,"TRUE","FALSE"),"NA")</f>
        <v>TRUE</v>
      </c>
      <c r="G32" s="514" t="str">
        <f>IF(G5="Actuals",IF(ABS((G29-SUM($D$31:G31))-G11)&lt;'RFPR cover'!$F$14,"TRUE","FALSE"),"NA")</f>
        <v>TRUE</v>
      </c>
      <c r="H32" s="514" t="str">
        <f>IF(H5="Actuals",IF(ABS((H29-SUM($D$31:H31))-H11)&lt;'RFPR cover'!$F$14,"TRUE","FALSE"),"NA")</f>
        <v>NA</v>
      </c>
      <c r="I32" s="514" t="str">
        <f>IF(I5="Actuals",IF(ABS((I29-SUM($D$31:I31))-I11)&lt;'RFPR cover'!$F$14,"TRUE","FALSE"),"NA")</f>
        <v>NA</v>
      </c>
      <c r="J32" s="514" t="str">
        <f>IF(J5="Actuals",IF(ABS((J29-SUM($D$31:J31))-J11)&lt;'RFPR cover'!$F$14,"TRUE","FALSE"),"NA")</f>
        <v>NA</v>
      </c>
      <c r="K32" s="514" t="str">
        <f>IF(K5="Actuals",IF(ABS((K29-SUM($D$31:K31))-K11)&lt;'RFPR cover'!$F$14,"TRUE","FALSE"),"NA")</f>
        <v>NA</v>
      </c>
      <c r="L32" s="209"/>
      <c r="N32" s="128"/>
    </row>
    <row r="33" spans="2:14" s="35" customFormat="1">
      <c r="B33" s="51"/>
      <c r="C33" s="476"/>
      <c r="D33" s="477"/>
      <c r="E33" s="477"/>
      <c r="F33" s="477"/>
      <c r="G33" s="477"/>
      <c r="H33" s="477"/>
      <c r="I33" s="477"/>
      <c r="J33" s="477"/>
      <c r="K33" s="477"/>
      <c r="N33" s="224"/>
    </row>
    <row r="34" spans="2:14" s="35" customFormat="1">
      <c r="B34" s="51" t="s">
        <v>42</v>
      </c>
      <c r="C34" s="266" t="s">
        <v>127</v>
      </c>
      <c r="D34" s="111">
        <f>Data!C$35</f>
        <v>1.0677429242873198</v>
      </c>
      <c r="E34" s="111">
        <f>Data!D$35</f>
        <v>1.1033002963114336</v>
      </c>
      <c r="F34" s="111">
        <f>Data!E$35</f>
        <v>1.1402881373250229</v>
      </c>
      <c r="G34" s="111">
        <f>Data!F$35</f>
        <v>1.171554102380709</v>
      </c>
      <c r="H34" s="111">
        <f>Data!G$35</f>
        <v>1.1958720752017984</v>
      </c>
      <c r="I34" s="111">
        <f>Data!H$35</f>
        <v>1.2162019004802289</v>
      </c>
      <c r="J34" s="111">
        <f>Data!I$35</f>
        <v>1.2420461908654337</v>
      </c>
      <c r="K34" s="111">
        <f>Data!J$35</f>
        <v>1.2740288802802187</v>
      </c>
      <c r="N34" s="224"/>
    </row>
    <row r="35" spans="2:14" s="31" customFormat="1">
      <c r="B35" s="37" t="s">
        <v>375</v>
      </c>
      <c r="C35" s="266" t="s">
        <v>127</v>
      </c>
      <c r="D35" s="111">
        <f>Data!C$34</f>
        <v>1.0603167467048125</v>
      </c>
      <c r="E35" s="112">
        <f>Data!D$34</f>
        <v>1.0830366813119445</v>
      </c>
      <c r="F35" s="112">
        <f>Data!E$34</f>
        <v>1.1235639113109226</v>
      </c>
      <c r="G35" s="112">
        <f>Data!F$34</f>
        <v>1.1578951670583426</v>
      </c>
      <c r="H35" s="112">
        <f>Data!G$34</f>
        <v>1.1878696229692449</v>
      </c>
      <c r="I35" s="112">
        <f>Data!H$34</f>
        <v>1.2080634065597218</v>
      </c>
      <c r="J35" s="112">
        <f>Data!I$34</f>
        <v>1.2337347539491161</v>
      </c>
      <c r="K35" s="113">
        <f>Data!J$34</f>
        <v>1.2655034238633056</v>
      </c>
      <c r="L35" s="233"/>
      <c r="N35" s="211"/>
    </row>
    <row r="36" spans="2:14" s="31" customFormat="1">
      <c r="B36" s="170" t="s">
        <v>509</v>
      </c>
      <c r="C36" s="266" t="s">
        <v>127</v>
      </c>
      <c r="D36" s="867">
        <f>INDEX(Data!$F$14:$F$30,MATCH($D$6-1,Data!$C$14:$C$30,0),0)/IF('RFPR cover'!$C$6="ED1",Data!$E$17,Data!$E$14)</f>
        <v>1.0526208235414325</v>
      </c>
      <c r="E36" s="868"/>
      <c r="F36" s="868"/>
      <c r="G36" s="868"/>
      <c r="H36" s="868"/>
      <c r="I36" s="868"/>
      <c r="J36" s="868"/>
      <c r="K36" s="868"/>
      <c r="L36" s="233"/>
      <c r="N36" s="211"/>
    </row>
    <row r="37" spans="2:14" s="35" customFormat="1">
      <c r="B37" s="51"/>
      <c r="C37" s="476"/>
      <c r="D37" s="477"/>
      <c r="E37" s="477"/>
      <c r="F37" s="477"/>
      <c r="G37" s="477"/>
      <c r="H37" s="477"/>
      <c r="I37" s="477"/>
      <c r="J37" s="477"/>
      <c r="K37" s="477"/>
      <c r="N37" s="224"/>
    </row>
    <row r="38" spans="2:14" s="2" customFormat="1">
      <c r="B38" s="12" t="s">
        <v>334</v>
      </c>
      <c r="C38" s="265" t="s">
        <v>128</v>
      </c>
      <c r="D38" s="725">
        <f t="shared" ref="D38:K38" si="8">D29*D34</f>
        <v>2126.2415517580912</v>
      </c>
      <c r="E38" s="725">
        <f t="shared" si="8"/>
        <v>2256.9295898202549</v>
      </c>
      <c r="F38" s="725">
        <f t="shared" si="8"/>
        <v>2351.4801172784464</v>
      </c>
      <c r="G38" s="725">
        <f t="shared" si="8"/>
        <v>2438.6234962896806</v>
      </c>
      <c r="H38" s="725">
        <f t="shared" si="8"/>
        <v>2518.0516474296242</v>
      </c>
      <c r="I38" s="725">
        <f t="shared" si="8"/>
        <v>2591.486897269875</v>
      </c>
      <c r="J38" s="725">
        <f t="shared" si="8"/>
        <v>2720.4115217020026</v>
      </c>
      <c r="K38" s="725">
        <f t="shared" si="8"/>
        <v>2859.1105584221359</v>
      </c>
      <c r="N38" s="128"/>
    </row>
    <row r="39" spans="2:14" s="2" customFormat="1">
      <c r="B39" s="12"/>
      <c r="C39" s="209"/>
      <c r="D39" s="209"/>
      <c r="E39" s="209"/>
      <c r="F39" s="209"/>
      <c r="G39" s="209"/>
      <c r="H39" s="209"/>
      <c r="I39" s="209"/>
      <c r="J39" s="209"/>
      <c r="K39" s="209"/>
      <c r="N39" s="128"/>
    </row>
    <row r="40" spans="2:14" s="2" customFormat="1">
      <c r="B40" s="505" t="s">
        <v>337</v>
      </c>
      <c r="C40" s="209" t="s">
        <v>340</v>
      </c>
      <c r="D40" s="407">
        <f>INDEX(Data!$K$73:$T$100,MATCH('RFPR cover'!$C$5,Data!$B$73:$B$100,0),MATCH('R9 - RAV'!D$6,Data!$K$72:$T$72,0))</f>
        <v>2.5499999999999998E-2</v>
      </c>
      <c r="E40" s="408">
        <f>INDEX(Data!$K$73:$T$100,MATCH('RFPR cover'!$C$5,Data!$B$73:$B$100,0),MATCH('R9 - RAV'!E$6,Data!$K$72:$T$72,0))</f>
        <v>2.3799999999999998E-2</v>
      </c>
      <c r="F40" s="408">
        <f>INDEX(Data!$K$73:$T$100,MATCH('RFPR cover'!$C$5,Data!$B$73:$B$100,0),MATCH('R9 - RAV'!F$6,Data!$K$72:$T$72,0))</f>
        <v>2.2200000000000001E-2</v>
      </c>
      <c r="G40" s="408">
        <f>INDEX(Data!$K$73:$T$100,MATCH('RFPR cover'!$C$5,Data!$B$73:$B$100,0),MATCH('R9 - RAV'!G$6,Data!$K$72:$T$72,0))</f>
        <v>1.9099999999999999E-2</v>
      </c>
      <c r="H40" s="408">
        <f>INDEX(Data!$K$73:$T$100,MATCH('RFPR cover'!$C$5,Data!$B$73:$B$100,0),MATCH('R9 - RAV'!H$6,Data!$K$72:$T$72,0))</f>
        <v>1.5800000000000002E-2</v>
      </c>
      <c r="I40" s="408">
        <f>INDEX(Data!$K$73:$T$100,MATCH('RFPR cover'!$C$5,Data!$B$73:$B$100,0),MATCH('R9 - RAV'!I$6,Data!$K$72:$T$72,0))</f>
        <v>1.09E-2</v>
      </c>
      <c r="J40" s="408">
        <f>INDEX(Data!$K$73:$T$100,MATCH('RFPR cover'!$C$5,Data!$B$73:$B$100,0),MATCH('R9 - RAV'!J$6,Data!$K$72:$T$72,0))</f>
        <v>7.7000000000000002E-3</v>
      </c>
      <c r="K40" s="409">
        <f>INDEX(Data!$K$73:$T$100,MATCH('RFPR cover'!$C$5,Data!$B$73:$B$100,0),MATCH('R9 - RAV'!K$6,Data!$K$72:$T$72,0))</f>
        <v>4.5999999999999999E-3</v>
      </c>
      <c r="N40" s="128"/>
    </row>
    <row r="41" spans="2:14" s="2" customFormat="1">
      <c r="B41" s="505" t="s">
        <v>338</v>
      </c>
      <c r="C41" s="209" t="s">
        <v>340</v>
      </c>
      <c r="D41" s="410">
        <f>'RFPR cover'!$C$10</f>
        <v>6.4000000000000001E-2</v>
      </c>
      <c r="E41" s="411">
        <f>'RFPR cover'!$C$10</f>
        <v>6.4000000000000001E-2</v>
      </c>
      <c r="F41" s="411">
        <f>'RFPR cover'!$C$10</f>
        <v>6.4000000000000001E-2</v>
      </c>
      <c r="G41" s="411">
        <f>'RFPR cover'!$C$10</f>
        <v>6.4000000000000001E-2</v>
      </c>
      <c r="H41" s="411">
        <f>'RFPR cover'!$C$10</f>
        <v>6.4000000000000001E-2</v>
      </c>
      <c r="I41" s="411">
        <f>'RFPR cover'!$C$10</f>
        <v>6.4000000000000001E-2</v>
      </c>
      <c r="J41" s="411">
        <f>'RFPR cover'!$C$10</f>
        <v>6.4000000000000001E-2</v>
      </c>
      <c r="K41" s="412">
        <f>'RFPR cover'!$C$10</f>
        <v>6.4000000000000001E-2</v>
      </c>
      <c r="N41" s="128"/>
    </row>
    <row r="42" spans="2:14" s="2" customFormat="1">
      <c r="B42" s="505" t="s">
        <v>339</v>
      </c>
      <c r="C42" s="209" t="s">
        <v>7</v>
      </c>
      <c r="D42" s="413">
        <f>'RFPR cover'!$C$12</f>
        <v>0.65</v>
      </c>
      <c r="E42" s="414">
        <f>'RFPR cover'!$C$12</f>
        <v>0.65</v>
      </c>
      <c r="F42" s="414">
        <f>'RFPR cover'!$C$12</f>
        <v>0.65</v>
      </c>
      <c r="G42" s="414">
        <f>'RFPR cover'!$C$12</f>
        <v>0.65</v>
      </c>
      <c r="H42" s="414">
        <f>'RFPR cover'!$C$12</f>
        <v>0.65</v>
      </c>
      <c r="I42" s="414">
        <f>'RFPR cover'!$C$12</f>
        <v>0.65</v>
      </c>
      <c r="J42" s="414">
        <f>'RFPR cover'!$C$12</f>
        <v>0.65</v>
      </c>
      <c r="K42" s="415">
        <f>'RFPR cover'!$C$12</f>
        <v>0.65</v>
      </c>
      <c r="N42" s="128"/>
    </row>
    <row r="43" spans="2:14">
      <c r="B43" s="199" t="s">
        <v>273</v>
      </c>
      <c r="C43" s="395" t="s">
        <v>340</v>
      </c>
      <c r="D43" s="404">
        <f t="shared" ref="D43:K43" si="9">D40*D42+D41*(1-D42)</f>
        <v>3.8974999999999996E-2</v>
      </c>
      <c r="E43" s="405">
        <f t="shared" si="9"/>
        <v>3.7870000000000001E-2</v>
      </c>
      <c r="F43" s="405">
        <f t="shared" si="9"/>
        <v>3.6830000000000002E-2</v>
      </c>
      <c r="G43" s="405">
        <f t="shared" si="9"/>
        <v>3.4814999999999999E-2</v>
      </c>
      <c r="H43" s="405">
        <f t="shared" si="9"/>
        <v>3.2670000000000005E-2</v>
      </c>
      <c r="I43" s="405">
        <f t="shared" si="9"/>
        <v>2.9485000000000001E-2</v>
      </c>
      <c r="J43" s="405">
        <f t="shared" si="9"/>
        <v>2.7404999999999999E-2</v>
      </c>
      <c r="K43" s="406">
        <f t="shared" si="9"/>
        <v>2.5389999999999999E-2</v>
      </c>
      <c r="L43" s="210"/>
    </row>
    <row r="44" spans="2:14">
      <c r="C44" s="222"/>
      <c r="D44" s="217"/>
      <c r="E44" s="217"/>
      <c r="F44" s="217"/>
      <c r="G44" s="217"/>
      <c r="H44" s="217"/>
      <c r="I44" s="217"/>
      <c r="J44" s="217"/>
      <c r="K44" s="217"/>
    </row>
    <row r="45" spans="2:14">
      <c r="B45" s="370" t="s">
        <v>341</v>
      </c>
      <c r="C45" s="395" t="str">
        <f>'RFPR cover'!$C$14</f>
        <v>£m 12/13</v>
      </c>
      <c r="D45" s="94">
        <f t="shared" ref="D45:K45" si="10">D47*D42</f>
        <v>1249.8211482182176</v>
      </c>
      <c r="E45" s="95">
        <f t="shared" si="10"/>
        <v>1287.7533892432668</v>
      </c>
      <c r="F45" s="95">
        <f t="shared" si="10"/>
        <v>1311.2271818758695</v>
      </c>
      <c r="G45" s="95">
        <f t="shared" si="10"/>
        <v>1323.9456840179505</v>
      </c>
      <c r="H45" s="95">
        <f t="shared" si="10"/>
        <v>1339.1735426495582</v>
      </c>
      <c r="I45" s="95">
        <f t="shared" si="10"/>
        <v>1357.0035140168688</v>
      </c>
      <c r="J45" s="95">
        <f t="shared" si="10"/>
        <v>1385.3599588624932</v>
      </c>
      <c r="K45" s="96">
        <f t="shared" si="10"/>
        <v>1423.1252272135039</v>
      </c>
    </row>
    <row r="46" spans="2:14">
      <c r="B46" s="370" t="s">
        <v>232</v>
      </c>
      <c r="C46" s="395" t="str">
        <f>'RFPR cover'!$C$14</f>
        <v>£m 12/13</v>
      </c>
      <c r="D46" s="520">
        <f t="shared" ref="D46:K46" si="11">D47*(1-D42)</f>
        <v>672.98061827134791</v>
      </c>
      <c r="E46" s="521">
        <f t="shared" si="11"/>
        <v>693.40567113098973</v>
      </c>
      <c r="F46" s="521">
        <f t="shared" si="11"/>
        <v>706.04540562546822</v>
      </c>
      <c r="G46" s="521">
        <f t="shared" si="11"/>
        <v>712.89382985581949</v>
      </c>
      <c r="H46" s="521">
        <f t="shared" si="11"/>
        <v>721.09344604206967</v>
      </c>
      <c r="I46" s="521">
        <f t="shared" si="11"/>
        <v>730.694199855237</v>
      </c>
      <c r="J46" s="521">
        <f t="shared" si="11"/>
        <v>745.9630547721116</v>
      </c>
      <c r="K46" s="522">
        <f t="shared" si="11"/>
        <v>766.29819926880964</v>
      </c>
    </row>
    <row r="47" spans="2:14">
      <c r="B47" s="199" t="s">
        <v>231</v>
      </c>
      <c r="C47" s="209" t="str">
        <f>'RFPR cover'!$C$14</f>
        <v>£m 12/13</v>
      </c>
      <c r="D47" s="101">
        <f t="shared" ref="D47:K47" si="12">AVERAGE(D16,D29*(1/(1+D43)))</f>
        <v>1922.8017664895656</v>
      </c>
      <c r="E47" s="102">
        <f t="shared" si="12"/>
        <v>1981.1590603742566</v>
      </c>
      <c r="F47" s="102">
        <f t="shared" si="12"/>
        <v>2017.2725875013377</v>
      </c>
      <c r="G47" s="102">
        <f t="shared" si="12"/>
        <v>2036.8395138737701</v>
      </c>
      <c r="H47" s="102">
        <f t="shared" si="12"/>
        <v>2060.2669886916278</v>
      </c>
      <c r="I47" s="102">
        <f t="shared" si="12"/>
        <v>2087.6977138721059</v>
      </c>
      <c r="J47" s="102">
        <f t="shared" si="12"/>
        <v>2131.3230136346046</v>
      </c>
      <c r="K47" s="103">
        <f t="shared" si="12"/>
        <v>2189.4234264823135</v>
      </c>
      <c r="N47" s="213"/>
    </row>
    <row r="48" spans="2:14">
      <c r="B48" s="199"/>
      <c r="C48" s="209"/>
      <c r="D48" s="209"/>
      <c r="E48" s="209"/>
      <c r="F48" s="209"/>
      <c r="G48" s="209"/>
      <c r="H48" s="209"/>
      <c r="I48" s="209"/>
      <c r="J48" s="209"/>
      <c r="K48" s="209"/>
      <c r="N48" s="213"/>
    </row>
    <row r="49" spans="2:14">
      <c r="B49" s="370" t="s">
        <v>342</v>
      </c>
      <c r="C49" s="395" t="str">
        <f>'RFPR cover'!$C$14</f>
        <v>£m 12/13</v>
      </c>
      <c r="D49" s="728">
        <f>D40*D45</f>
        <v>31.870439279564547</v>
      </c>
      <c r="E49" s="729">
        <f t="shared" ref="D49:K50" si="13">E40*E45</f>
        <v>30.648530663989749</v>
      </c>
      <c r="F49" s="729">
        <f t="shared" si="13"/>
        <v>29.109243437644306</v>
      </c>
      <c r="G49" s="729">
        <f t="shared" si="13"/>
        <v>25.287362564742853</v>
      </c>
      <c r="H49" s="729">
        <f t="shared" si="13"/>
        <v>21.158941973863023</v>
      </c>
      <c r="I49" s="729">
        <f t="shared" si="13"/>
        <v>14.791338302783871</v>
      </c>
      <c r="J49" s="729">
        <f t="shared" si="13"/>
        <v>10.667271683241198</v>
      </c>
      <c r="K49" s="730">
        <f t="shared" si="13"/>
        <v>6.546376045182118</v>
      </c>
    </row>
    <row r="50" spans="2:14">
      <c r="B50" s="370" t="s">
        <v>229</v>
      </c>
      <c r="C50" s="395" t="str">
        <f>'RFPR cover'!$C$14</f>
        <v>£m 12/13</v>
      </c>
      <c r="D50" s="91">
        <f t="shared" si="13"/>
        <v>43.070759569366267</v>
      </c>
      <c r="E50" s="92">
        <f t="shared" si="13"/>
        <v>44.377962952383342</v>
      </c>
      <c r="F50" s="92">
        <f t="shared" si="13"/>
        <v>45.186905960029968</v>
      </c>
      <c r="G50" s="92">
        <f t="shared" si="13"/>
        <v>45.625205110772448</v>
      </c>
      <c r="H50" s="92">
        <f t="shared" si="13"/>
        <v>46.149980546692461</v>
      </c>
      <c r="I50" s="92">
        <f t="shared" si="13"/>
        <v>46.764428790735167</v>
      </c>
      <c r="J50" s="92">
        <f t="shared" si="13"/>
        <v>47.741635505415147</v>
      </c>
      <c r="K50" s="93">
        <f t="shared" si="13"/>
        <v>49.043084753203821</v>
      </c>
      <c r="N50" s="213"/>
    </row>
    <row r="51" spans="2:14">
      <c r="B51" s="199" t="s">
        <v>344</v>
      </c>
      <c r="C51" s="395" t="str">
        <f>'RFPR cover'!$C$14</f>
        <v>£m 12/13</v>
      </c>
      <c r="D51" s="101">
        <f>SUM(D49:D50)</f>
        <v>74.94119884893081</v>
      </c>
      <c r="E51" s="102">
        <f t="shared" ref="E51:K51" si="14">SUM(E49:E50)</f>
        <v>75.026493616373088</v>
      </c>
      <c r="F51" s="102">
        <f t="shared" si="14"/>
        <v>74.29614939767427</v>
      </c>
      <c r="G51" s="102">
        <f t="shared" si="14"/>
        <v>70.912567675515305</v>
      </c>
      <c r="H51" s="102">
        <f t="shared" si="14"/>
        <v>67.308922520555484</v>
      </c>
      <c r="I51" s="102">
        <f t="shared" si="14"/>
        <v>61.555767093519037</v>
      </c>
      <c r="J51" s="102">
        <f t="shared" si="14"/>
        <v>58.408907188656343</v>
      </c>
      <c r="K51" s="103">
        <f t="shared" si="14"/>
        <v>55.589460798385943</v>
      </c>
      <c r="N51" s="213"/>
    </row>
    <row r="53" spans="2:14" s="31" customFormat="1">
      <c r="B53" s="370" t="s">
        <v>341</v>
      </c>
      <c r="C53" s="265" t="s">
        <v>128</v>
      </c>
      <c r="D53" s="94">
        <f t="shared" ref="D53:K54" si="15">D$35*D45</f>
        <v>1325.2062938416136</v>
      </c>
      <c r="E53" s="95">
        <f t="shared" si="15"/>
        <v>1394.6841570342365</v>
      </c>
      <c r="F53" s="95">
        <f t="shared" si="15"/>
        <v>1473.2475410856505</v>
      </c>
      <c r="G53" s="95">
        <f t="shared" si="15"/>
        <v>1532.9903089721365</v>
      </c>
      <c r="H53" s="95">
        <f t="shared" si="15"/>
        <v>1590.7635711975188</v>
      </c>
      <c r="I53" s="95">
        <f t="shared" si="15"/>
        <v>1639.3462878567318</v>
      </c>
      <c r="J53" s="95">
        <f t="shared" si="15"/>
        <v>1709.1667279781757</v>
      </c>
      <c r="K53" s="96">
        <f t="shared" si="15"/>
        <v>1800.9698476249339</v>
      </c>
      <c r="L53" s="233"/>
      <c r="N53" s="211"/>
    </row>
    <row r="54" spans="2:14" s="31" customFormat="1">
      <c r="B54" s="370" t="s">
        <v>232</v>
      </c>
      <c r="C54" s="265" t="s">
        <v>128</v>
      </c>
      <c r="D54" s="520">
        <f t="shared" si="15"/>
        <v>713.57261976086886</v>
      </c>
      <c r="E54" s="521">
        <f t="shared" si="15"/>
        <v>750.98377686458878</v>
      </c>
      <c r="F54" s="521">
        <f t="shared" si="15"/>
        <v>793.28713750765792</v>
      </c>
      <c r="G54" s="521">
        <f t="shared" si="15"/>
        <v>825.4563202157658</v>
      </c>
      <c r="H54" s="521">
        <f t="shared" si="15"/>
        <v>856.56499987558686</v>
      </c>
      <c r="I54" s="521">
        <f t="shared" si="15"/>
        <v>882.7249242305478</v>
      </c>
      <c r="J54" s="521">
        <f t="shared" si="15"/>
        <v>920.3205458344022</v>
      </c>
      <c r="K54" s="522">
        <f t="shared" si="15"/>
        <v>969.7529948749642</v>
      </c>
      <c r="L54" s="233"/>
      <c r="N54" s="211"/>
    </row>
    <row r="55" spans="2:14">
      <c r="B55" s="199" t="s">
        <v>343</v>
      </c>
      <c r="C55" s="265" t="s">
        <v>128</v>
      </c>
      <c r="D55" s="731">
        <f>SUM(D53:D54)</f>
        <v>2038.7789136024826</v>
      </c>
      <c r="E55" s="732">
        <f t="shared" ref="E55:K55" si="16">SUM(E53:E54)</f>
        <v>2145.6679338988251</v>
      </c>
      <c r="F55" s="732">
        <f t="shared" si="16"/>
        <v>2266.5346785933084</v>
      </c>
      <c r="G55" s="732">
        <f t="shared" si="16"/>
        <v>2358.4466291879025</v>
      </c>
      <c r="H55" s="732">
        <f t="shared" si="16"/>
        <v>2447.3285710731056</v>
      </c>
      <c r="I55" s="732">
        <f t="shared" si="16"/>
        <v>2522.0712120872795</v>
      </c>
      <c r="J55" s="732">
        <f t="shared" si="16"/>
        <v>2629.4872738125778</v>
      </c>
      <c r="K55" s="733">
        <f t="shared" si="16"/>
        <v>2770.722842499898</v>
      </c>
    </row>
    <row r="56" spans="2:14" s="31" customFormat="1">
      <c r="B56" s="199"/>
      <c r="C56" s="209"/>
      <c r="D56" s="209"/>
      <c r="E56" s="209"/>
      <c r="F56" s="209"/>
      <c r="G56" s="209"/>
      <c r="H56" s="209"/>
      <c r="I56" s="209"/>
      <c r="J56" s="209"/>
      <c r="K56" s="209"/>
      <c r="L56" s="233"/>
      <c r="N56" s="211"/>
    </row>
    <row r="57" spans="2:14" s="31" customFormat="1">
      <c r="B57" s="370" t="s">
        <v>342</v>
      </c>
      <c r="C57" s="265" t="s">
        <v>128</v>
      </c>
      <c r="D57" s="94">
        <f t="shared" ref="D57:K58" si="17">D$35*D49</f>
        <v>33.79276049296115</v>
      </c>
      <c r="E57" s="95">
        <f t="shared" si="17"/>
        <v>33.193482937414828</v>
      </c>
      <c r="F57" s="95">
        <f t="shared" si="17"/>
        <v>32.70609541210144</v>
      </c>
      <c r="G57" s="95">
        <f t="shared" si="17"/>
        <v>29.280114901367806</v>
      </c>
      <c r="H57" s="95">
        <f t="shared" si="17"/>
        <v>25.134064424920801</v>
      </c>
      <c r="I57" s="95">
        <f t="shared" si="17"/>
        <v>17.868874537638376</v>
      </c>
      <c r="J57" s="95">
        <f t="shared" si="17"/>
        <v>13.160583805431953</v>
      </c>
      <c r="K57" s="96">
        <f t="shared" si="17"/>
        <v>8.284461299074696</v>
      </c>
      <c r="L57" s="233"/>
      <c r="N57" s="211"/>
    </row>
    <row r="58" spans="2:14">
      <c r="B58" s="370" t="s">
        <v>238</v>
      </c>
      <c r="C58" s="265" t="s">
        <v>128</v>
      </c>
      <c r="D58" s="734">
        <f t="shared" si="17"/>
        <v>45.668647664695612</v>
      </c>
      <c r="E58" s="735">
        <f t="shared" si="17"/>
        <v>48.062961719333678</v>
      </c>
      <c r="F58" s="735">
        <f t="shared" si="17"/>
        <v>50.770376800490112</v>
      </c>
      <c r="G58" s="735">
        <f t="shared" si="17"/>
        <v>52.829204493809009</v>
      </c>
      <c r="H58" s="735">
        <f t="shared" si="17"/>
        <v>54.82015999203756</v>
      </c>
      <c r="I58" s="735">
        <f t="shared" si="17"/>
        <v>56.494395150755054</v>
      </c>
      <c r="J58" s="735">
        <f t="shared" si="17"/>
        <v>58.900514933401745</v>
      </c>
      <c r="K58" s="736">
        <f t="shared" si="17"/>
        <v>62.064191671997719</v>
      </c>
    </row>
    <row r="59" spans="2:14">
      <c r="B59" s="199" t="s">
        <v>344</v>
      </c>
      <c r="C59" s="265" t="s">
        <v>128</v>
      </c>
      <c r="D59" s="101">
        <f t="shared" ref="D59:K59" si="18">SUM(D57:D58)</f>
        <v>79.461408157656763</v>
      </c>
      <c r="E59" s="102">
        <f t="shared" si="18"/>
        <v>81.256444656748499</v>
      </c>
      <c r="F59" s="102">
        <f t="shared" si="18"/>
        <v>83.476472212591545</v>
      </c>
      <c r="G59" s="102">
        <f t="shared" si="18"/>
        <v>82.109319395176811</v>
      </c>
      <c r="H59" s="102">
        <f t="shared" si="18"/>
        <v>79.954224416958368</v>
      </c>
      <c r="I59" s="102">
        <f t="shared" si="18"/>
        <v>74.36326968839343</v>
      </c>
      <c r="J59" s="102">
        <f t="shared" si="18"/>
        <v>72.061098738833692</v>
      </c>
      <c r="K59" s="103">
        <f t="shared" si="18"/>
        <v>70.348652971072411</v>
      </c>
    </row>
    <row r="60" spans="2:14">
      <c r="B60" s="14"/>
      <c r="C60" s="234"/>
      <c r="D60" s="234"/>
      <c r="E60" s="234"/>
      <c r="F60" s="234"/>
      <c r="G60" s="234"/>
      <c r="H60" s="234"/>
      <c r="I60" s="234"/>
      <c r="J60" s="234"/>
      <c r="K60" s="234"/>
    </row>
    <row r="61" spans="2:14">
      <c r="B61" s="14"/>
      <c r="C61" s="234"/>
      <c r="D61" s="234"/>
      <c r="E61" s="234"/>
      <c r="F61" s="234"/>
      <c r="G61" s="234"/>
      <c r="H61" s="234"/>
      <c r="I61" s="234"/>
      <c r="J61" s="234"/>
      <c r="K61" s="234"/>
    </row>
    <row r="62" spans="2:14">
      <c r="B62" s="14"/>
      <c r="C62" s="234"/>
      <c r="D62" s="234"/>
      <c r="E62" s="234"/>
      <c r="F62" s="234"/>
      <c r="G62" s="234"/>
      <c r="H62" s="234"/>
      <c r="I62" s="234"/>
      <c r="J62" s="234"/>
      <c r="K62" s="234"/>
    </row>
    <row r="63" spans="2:14">
      <c r="B63" s="14"/>
      <c r="C63" s="234"/>
      <c r="D63" s="234"/>
      <c r="E63" s="234"/>
      <c r="F63" s="234"/>
      <c r="G63" s="234"/>
      <c r="H63" s="234"/>
      <c r="I63" s="234"/>
      <c r="J63" s="234"/>
      <c r="K63" s="234"/>
    </row>
  </sheetData>
  <conditionalFormatting sqref="D6:K6">
    <cfRule type="expression" dxfId="31" priority="13">
      <formula>AND(D$5="Actuals",E$5="Forecast")</formula>
    </cfRule>
  </conditionalFormatting>
  <conditionalFormatting sqref="D5:K5">
    <cfRule type="expression" dxfId="30"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3" s="31" customFormat="1" ht="21">
      <c r="A1" s="919" t="s">
        <v>261</v>
      </c>
      <c r="B1" s="915"/>
      <c r="C1" s="255"/>
      <c r="D1" s="255"/>
      <c r="E1" s="255"/>
      <c r="F1" s="255"/>
      <c r="G1" s="255"/>
      <c r="H1" s="255"/>
      <c r="I1" s="256"/>
      <c r="J1" s="256"/>
      <c r="K1" s="257"/>
      <c r="L1" s="258"/>
    </row>
    <row r="2" spans="1:13" s="31" customFormat="1" ht="21">
      <c r="A2" s="908" t="str">
        <f>'RFPR cover'!C5</f>
        <v>WPD-EMID</v>
      </c>
      <c r="B2" s="900"/>
      <c r="C2" s="29"/>
      <c r="D2" s="29"/>
      <c r="E2" s="29"/>
      <c r="F2" s="29"/>
      <c r="G2" s="29"/>
      <c r="H2" s="29"/>
      <c r="I2" s="27"/>
      <c r="J2" s="27"/>
      <c r="K2" s="27"/>
      <c r="L2" s="122"/>
    </row>
    <row r="3" spans="1:13" s="31" customFormat="1" ht="21">
      <c r="A3" s="911">
        <f>'RFPR cover'!C7</f>
        <v>2020</v>
      </c>
      <c r="B3" s="918"/>
      <c r="C3" s="259"/>
      <c r="D3" s="259"/>
      <c r="E3" s="259"/>
      <c r="F3" s="259"/>
      <c r="G3" s="259"/>
      <c r="H3" s="259"/>
      <c r="I3" s="254"/>
      <c r="J3" s="254"/>
      <c r="K3" s="254"/>
      <c r="L3" s="260"/>
    </row>
    <row r="4" spans="1:13" s="31" customFormat="1" ht="12.75" customHeight="1">
      <c r="A4" s="261"/>
      <c r="B4" s="262"/>
      <c r="C4" s="261"/>
      <c r="D4" s="261"/>
      <c r="E4" s="261"/>
      <c r="F4" s="261"/>
      <c r="G4" s="261"/>
      <c r="H4" s="261"/>
      <c r="I4" s="263"/>
      <c r="J4" s="263"/>
      <c r="K4" s="263"/>
      <c r="L4" s="264"/>
      <c r="M4" s="262"/>
    </row>
    <row r="5" spans="1:13" s="2" customFormat="1">
      <c r="B5" s="3"/>
      <c r="C5" s="3"/>
      <c r="D5" s="388" t="str">
        <f>IF(D6&lt;=('RFPR cover'!$C$7-1),"Actuals","Forecast")</f>
        <v>Actuals</v>
      </c>
      <c r="E5" s="388" t="str">
        <f>IF(E6&lt;=('RFPR cover'!$C$7-1),"Actuals","Forecast")</f>
        <v>Actuals</v>
      </c>
      <c r="F5" s="388" t="str">
        <f>IF(F6&lt;=('RFPR cover'!$C$7-1),"Actuals","Forecast")</f>
        <v>Actuals</v>
      </c>
      <c r="G5" s="388" t="str">
        <f>IF(G6&lt;=('RFPR cover'!$C$7-1),"Actuals","Forecast")</f>
        <v>Actuals</v>
      </c>
      <c r="H5" s="388" t="str">
        <f>IF(H6&lt;=('RFPR cover'!$C$7-1),"Actuals","Forecast")</f>
        <v>Forecast</v>
      </c>
      <c r="I5" s="388" t="str">
        <f>IF(I6&lt;=('RFPR cover'!$C$7-1),"Actuals","Forecast")</f>
        <v>Forecast</v>
      </c>
      <c r="J5" s="388" t="str">
        <f>IF(J6&lt;=('RFPR cover'!$C$7-1),"Actuals","Forecast")</f>
        <v>Forecast</v>
      </c>
      <c r="K5" s="388" t="str">
        <f>IF(K6&lt;=('RFPR cover'!$C$7-1),"Actuals","Forecast")</f>
        <v>Forecast</v>
      </c>
    </row>
    <row r="6" spans="1:13" s="2" customFormat="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3" s="35" customFormat="1">
      <c r="D7" s="428"/>
      <c r="E7" s="428"/>
      <c r="F7" s="428"/>
      <c r="G7" s="428"/>
      <c r="H7" s="428"/>
      <c r="I7" s="428"/>
      <c r="J7" s="428"/>
      <c r="K7" s="428"/>
    </row>
    <row r="8" spans="1:13" s="2" customFormat="1">
      <c r="B8" s="367" t="s">
        <v>365</v>
      </c>
      <c r="C8" s="292"/>
      <c r="D8" s="292"/>
      <c r="E8" s="292"/>
      <c r="F8" s="292"/>
      <c r="G8" s="292"/>
      <c r="H8" s="292"/>
      <c r="I8" s="292"/>
      <c r="J8" s="292"/>
      <c r="K8" s="292"/>
      <c r="L8" s="292"/>
    </row>
    <row r="9" spans="1:13" s="2" customFormat="1">
      <c r="B9" s="367" t="s">
        <v>470</v>
      </c>
      <c r="C9" s="292"/>
      <c r="D9" s="292"/>
      <c r="E9" s="292"/>
      <c r="F9" s="292"/>
      <c r="G9" s="292"/>
      <c r="H9" s="292"/>
      <c r="I9" s="292"/>
      <c r="J9" s="292"/>
      <c r="K9" s="292"/>
      <c r="L9" s="292"/>
    </row>
    <row r="10" spans="1:13" s="2" customFormat="1">
      <c r="B10" s="367" t="s">
        <v>366</v>
      </c>
      <c r="C10" s="292"/>
      <c r="D10" s="292"/>
      <c r="E10" s="292"/>
      <c r="F10" s="292"/>
      <c r="G10" s="292"/>
      <c r="H10" s="292"/>
      <c r="I10" s="292"/>
      <c r="J10" s="292"/>
      <c r="K10" s="292"/>
      <c r="L10" s="292"/>
    </row>
    <row r="11" spans="1:13" s="35" customFormat="1">
      <c r="B11" s="427"/>
    </row>
    <row r="12" spans="1:13">
      <c r="B12" s="198" t="s">
        <v>533</v>
      </c>
      <c r="C12" s="265" t="s">
        <v>128</v>
      </c>
      <c r="D12" s="637">
        <v>19.965399999999999</v>
      </c>
      <c r="E12" s="637">
        <v>17.364000000000001</v>
      </c>
      <c r="F12" s="637">
        <v>30.749220000000012</v>
      </c>
      <c r="G12" s="637">
        <v>27.357149999999997</v>
      </c>
      <c r="H12" s="638"/>
      <c r="I12" s="638"/>
      <c r="J12" s="638"/>
      <c r="K12" s="639"/>
    </row>
    <row r="13" spans="1:13">
      <c r="B13" s="14"/>
      <c r="C13" s="14"/>
      <c r="D13" s="737"/>
      <c r="E13" s="737"/>
      <c r="F13" s="737"/>
      <c r="G13" s="737"/>
      <c r="H13" s="737"/>
      <c r="I13" s="737"/>
      <c r="J13" s="737"/>
      <c r="K13" s="737"/>
    </row>
    <row r="14" spans="1:13">
      <c r="B14" s="14" t="s">
        <v>469</v>
      </c>
      <c r="C14" s="265"/>
      <c r="D14" s="737"/>
      <c r="E14" s="737"/>
      <c r="F14" s="737"/>
      <c r="G14" s="737"/>
      <c r="H14" s="737"/>
      <c r="I14" s="737"/>
      <c r="J14" s="737"/>
      <c r="K14" s="737"/>
    </row>
    <row r="15" spans="1:13">
      <c r="B15" s="368" t="s">
        <v>491</v>
      </c>
      <c r="C15" s="265" t="s">
        <v>128</v>
      </c>
      <c r="D15" s="593"/>
      <c r="E15" s="594"/>
      <c r="F15" s="594"/>
      <c r="G15" s="594"/>
      <c r="H15" s="594"/>
      <c r="I15" s="594"/>
      <c r="J15" s="594"/>
      <c r="K15" s="604"/>
    </row>
    <row r="16" spans="1:13">
      <c r="B16" s="429" t="s">
        <v>630</v>
      </c>
      <c r="C16" s="265" t="s">
        <v>128</v>
      </c>
      <c r="D16" s="637">
        <v>0.81202581939831786</v>
      </c>
      <c r="E16" s="637">
        <v>0.69839179047045796</v>
      </c>
      <c r="F16" s="637">
        <v>0.56395998134010838</v>
      </c>
      <c r="G16" s="637">
        <v>0.52560939742845314</v>
      </c>
      <c r="H16" s="594"/>
      <c r="I16" s="594"/>
      <c r="J16" s="594"/>
      <c r="K16" s="604"/>
    </row>
    <row r="17" spans="2:12">
      <c r="B17" s="429" t="s">
        <v>631</v>
      </c>
      <c r="C17" s="265" t="s">
        <v>128</v>
      </c>
      <c r="D17" s="637">
        <v>-0.47980970493907338</v>
      </c>
      <c r="E17" s="637">
        <v>-0.39409030684637075</v>
      </c>
      <c r="F17" s="637">
        <v>-0.29251498679881771</v>
      </c>
      <c r="G17" s="637">
        <v>-2.8620939436507592E-2</v>
      </c>
      <c r="H17" s="594"/>
      <c r="I17" s="594"/>
      <c r="J17" s="594"/>
      <c r="K17" s="604"/>
    </row>
    <row r="18" spans="2:12">
      <c r="B18" s="429" t="s">
        <v>142</v>
      </c>
      <c r="C18" s="265" t="s">
        <v>128</v>
      </c>
      <c r="D18" s="637">
        <v>-0.12543640991486579</v>
      </c>
      <c r="E18" s="637">
        <v>-0.10730315692870396</v>
      </c>
      <c r="F18" s="637">
        <v>-2.7915884185295147E-3</v>
      </c>
      <c r="G18" s="637">
        <v>-0.21233639672850721</v>
      </c>
      <c r="H18" s="594"/>
      <c r="I18" s="594"/>
      <c r="J18" s="594"/>
      <c r="K18" s="604"/>
    </row>
    <row r="19" spans="2:12">
      <c r="B19" s="267" t="s">
        <v>367</v>
      </c>
      <c r="C19" s="265" t="s">
        <v>128</v>
      </c>
      <c r="D19" s="738">
        <f>SUM(D15:D18)</f>
        <v>0.20677970454437869</v>
      </c>
      <c r="E19" s="739">
        <f t="shared" ref="E19:K19" si="1">SUM(E15:E18)</f>
        <v>0.19699832669538325</v>
      </c>
      <c r="F19" s="739">
        <f t="shared" si="1"/>
        <v>0.26865340612276117</v>
      </c>
      <c r="G19" s="739">
        <f t="shared" si="1"/>
        <v>0.28465206126343834</v>
      </c>
      <c r="H19" s="739">
        <f t="shared" si="1"/>
        <v>0</v>
      </c>
      <c r="I19" s="739">
        <f t="shared" si="1"/>
        <v>0</v>
      </c>
      <c r="J19" s="739">
        <f t="shared" si="1"/>
        <v>0</v>
      </c>
      <c r="K19" s="740">
        <f t="shared" si="1"/>
        <v>0</v>
      </c>
    </row>
    <row r="20" spans="2:12" s="31" customFormat="1">
      <c r="B20" s="368"/>
      <c r="C20" s="368"/>
      <c r="D20" s="741"/>
      <c r="E20" s="741"/>
      <c r="F20" s="741"/>
      <c r="G20" s="741"/>
      <c r="H20" s="741"/>
      <c r="I20" s="741"/>
      <c r="J20" s="741"/>
      <c r="K20" s="741"/>
      <c r="L20" s="368"/>
    </row>
    <row r="21" spans="2:12">
      <c r="B21" s="14" t="s">
        <v>333</v>
      </c>
      <c r="C21" s="265"/>
      <c r="D21" s="742"/>
      <c r="E21" s="742"/>
      <c r="F21" s="742"/>
      <c r="G21" s="742"/>
      <c r="H21" s="742"/>
      <c r="I21" s="742"/>
      <c r="J21" s="742"/>
      <c r="K21" s="742"/>
      <c r="L21" s="265"/>
    </row>
    <row r="22" spans="2:12">
      <c r="B22" s="368" t="s">
        <v>492</v>
      </c>
      <c r="C22" s="265" t="s">
        <v>128</v>
      </c>
      <c r="D22" s="854">
        <f>('R5 - Output Incentives'!D102)*INDEX(Data!$G$14:$G$30,MATCH('R10 - Tax'!D$6,Data!$C$14:$C$30,0),1)</f>
        <v>5.8325534309609983</v>
      </c>
      <c r="E22" s="855">
        <f>('R5 - Output Incentives'!E102)*INDEX(Data!$G$14:$G$30,MATCH('R10 - Tax'!E$6,Data!$C$14:$C$30,0),1)</f>
        <v>6.3532277332032239</v>
      </c>
      <c r="F22" s="855">
        <f>('R5 - Output Incentives'!F102)*INDEX(Data!$G$14:$G$30,MATCH('R10 - Tax'!F$6,Data!$C$14:$C$30,0),1)</f>
        <v>5.3665530599627562</v>
      </c>
      <c r="G22" s="855">
        <f>('R5 - Output Incentives'!G102)*INDEX(Data!$G$14:$G$30,MATCH('R10 - Tax'!G$6,Data!$C$14:$C$30,0),1)</f>
        <v>5.4399451863349926</v>
      </c>
      <c r="H22" s="857">
        <f>('R5 - Output Incentives'!H102)*INDEX(Data!$G$14:$G$30,MATCH('R10 - Tax'!H$6,Data!$C$14:$C$30,0),1)</f>
        <v>4.9752446675246871</v>
      </c>
      <c r="I22" s="857">
        <f>('R5 - Output Incentives'!I102)*INDEX(Data!$G$14:$G$30,MATCH('R10 - Tax'!I$6,Data!$C$14:$C$30,0),1)</f>
        <v>5.7120467444271075</v>
      </c>
      <c r="J22" s="857">
        <f>('R5 - Output Incentives'!J102)*INDEX(Data!$G$14:$G$30,MATCH('R10 - Tax'!J$6,Data!$C$14:$C$30,0),1)</f>
        <v>5.9074355303709298</v>
      </c>
      <c r="K22" s="858">
        <f>('R5 - Output Incentives'!K102)*INDEX(Data!$G$14:$G$30,MATCH('R10 - Tax'!K$6,Data!$C$14:$C$30,0),1)</f>
        <v>5.332361909987708</v>
      </c>
    </row>
    <row r="23" spans="2:12">
      <c r="B23" s="368" t="s">
        <v>493</v>
      </c>
      <c r="C23" s="265" t="s">
        <v>128</v>
      </c>
      <c r="D23" s="597">
        <f>('R4 - Totex'!D77-'R4 - Totex'!D79)*D40</f>
        <v>1.51161293287737</v>
      </c>
      <c r="E23" s="599">
        <f>('R4 - Totex'!E77-'R4 - Totex'!E79)*E40</f>
        <v>1.5091929525128842</v>
      </c>
      <c r="F23" s="599">
        <f>('R4 - Totex'!F77-'R4 - Totex'!F79)*F40</f>
        <v>1.3242846625702245</v>
      </c>
      <c r="G23" s="599">
        <f>('R4 - Totex'!G77-'R4 - Totex'!G79)*G40</f>
        <v>1.3878920518191731</v>
      </c>
      <c r="H23" s="859">
        <f>('R4 - Totex'!H77-'R4 - Totex'!H79)*H40</f>
        <v>1.4078111905257669</v>
      </c>
      <c r="I23" s="859">
        <f>('R4 - Totex'!I77-'R4 - Totex'!I79)*I40</f>
        <v>1.4888784447839161</v>
      </c>
      <c r="J23" s="859">
        <f>('R4 - Totex'!J77-'R4 - Totex'!J79)*J40</f>
        <v>1.5975604382538662</v>
      </c>
      <c r="K23" s="860">
        <f>('R4 - Totex'!K77-'R4 - Totex'!K79)*K40</f>
        <v>1.5934587219835989</v>
      </c>
    </row>
    <row r="24" spans="2:12">
      <c r="B24" s="368" t="s">
        <v>494</v>
      </c>
      <c r="C24" s="265" t="s">
        <v>128</v>
      </c>
      <c r="D24" s="595">
        <v>0.13847891393008602</v>
      </c>
      <c r="E24" s="595">
        <v>13.659543809038359</v>
      </c>
      <c r="F24" s="595">
        <v>-0.36033100425611719</v>
      </c>
      <c r="G24" s="595">
        <v>-1.4573498016903479</v>
      </c>
      <c r="H24" s="596"/>
      <c r="I24" s="596"/>
      <c r="J24" s="596"/>
      <c r="K24" s="605"/>
    </row>
    <row r="25" spans="2:12">
      <c r="B25" s="368" t="s">
        <v>495</v>
      </c>
      <c r="C25" s="265" t="s">
        <v>128</v>
      </c>
      <c r="D25" s="595"/>
      <c r="E25" s="596"/>
      <c r="F25" s="596"/>
      <c r="G25" s="596"/>
      <c r="H25" s="596"/>
      <c r="I25" s="596"/>
      <c r="J25" s="596"/>
      <c r="K25" s="605"/>
    </row>
    <row r="26" spans="2:12">
      <c r="B26" s="368" t="s">
        <v>496</v>
      </c>
      <c r="C26" s="265" t="s">
        <v>128</v>
      </c>
      <c r="D26" s="595"/>
      <c r="E26" s="596"/>
      <c r="F26" s="596"/>
      <c r="G26" s="596"/>
      <c r="H26" s="596"/>
      <c r="I26" s="596"/>
      <c r="J26" s="596"/>
      <c r="K26" s="605"/>
    </row>
    <row r="27" spans="2:12">
      <c r="B27" s="368" t="s">
        <v>497</v>
      </c>
      <c r="C27" s="265" t="s">
        <v>128</v>
      </c>
      <c r="D27" s="595"/>
      <c r="E27" s="596"/>
      <c r="F27" s="596"/>
      <c r="G27" s="596"/>
      <c r="H27" s="596"/>
      <c r="I27" s="596"/>
      <c r="J27" s="596"/>
      <c r="K27" s="605"/>
    </row>
    <row r="28" spans="2:12">
      <c r="B28" s="368" t="s">
        <v>574</v>
      </c>
      <c r="C28" s="265" t="s">
        <v>128</v>
      </c>
      <c r="D28" s="595">
        <v>-0.1336054955468492</v>
      </c>
      <c r="E28" s="595">
        <v>1.7686050351843305</v>
      </c>
      <c r="F28" s="595">
        <v>-0.15137231644203297</v>
      </c>
      <c r="G28" s="595">
        <v>-1.3122838573680253</v>
      </c>
      <c r="H28" s="596"/>
      <c r="I28" s="596"/>
      <c r="J28" s="596"/>
      <c r="K28" s="605"/>
    </row>
    <row r="29" spans="2:12">
      <c r="B29" s="429" t="s">
        <v>625</v>
      </c>
      <c r="C29" s="265" t="s">
        <v>128</v>
      </c>
      <c r="D29" s="595">
        <v>1.908357744070347</v>
      </c>
      <c r="E29" s="595">
        <v>0.36950496472398181</v>
      </c>
      <c r="F29" s="595">
        <v>-2.0473187671892816</v>
      </c>
      <c r="G29" s="595">
        <v>-0.2524075916408034</v>
      </c>
      <c r="H29" s="596"/>
      <c r="I29" s="596"/>
      <c r="J29" s="596"/>
      <c r="K29" s="605"/>
    </row>
    <row r="30" spans="2:12">
      <c r="B30" s="429" t="s">
        <v>389</v>
      </c>
      <c r="C30" s="265" t="s">
        <v>128</v>
      </c>
      <c r="D30" s="595">
        <v>-0.11098949305433324</v>
      </c>
      <c r="E30" s="595">
        <v>3.7613441886848644E-3</v>
      </c>
      <c r="F30" s="595">
        <v>1.6880545350571856</v>
      </c>
      <c r="G30" s="595">
        <v>3.603663782375095</v>
      </c>
      <c r="H30" s="596"/>
      <c r="I30" s="596"/>
      <c r="J30" s="596"/>
      <c r="K30" s="605"/>
    </row>
    <row r="31" spans="2:12">
      <c r="B31" s="429" t="s">
        <v>585</v>
      </c>
      <c r="C31" s="265" t="s">
        <v>128</v>
      </c>
      <c r="D31" s="595">
        <v>-2.5260518365735147</v>
      </c>
      <c r="E31" s="595">
        <v>-11.934073413161148</v>
      </c>
      <c r="F31" s="595">
        <v>-2.4926754250879171</v>
      </c>
      <c r="G31" s="595">
        <v>-0.61280417531299813</v>
      </c>
      <c r="H31" s="596"/>
      <c r="I31" s="596"/>
      <c r="J31" s="596"/>
      <c r="K31" s="605"/>
    </row>
    <row r="32" spans="2:12">
      <c r="B32" s="429" t="s">
        <v>626</v>
      </c>
      <c r="C32" s="265" t="s">
        <v>128</v>
      </c>
      <c r="D32" s="595">
        <v>-0.2239385822921689</v>
      </c>
      <c r="E32" s="595">
        <v>-0.22674644048885606</v>
      </c>
      <c r="F32" s="595">
        <v>-0.22260760792033607</v>
      </c>
      <c r="G32" s="595">
        <v>-0.22812931088354982</v>
      </c>
      <c r="H32" s="596"/>
      <c r="I32" s="596"/>
      <c r="J32" s="596"/>
      <c r="K32" s="605"/>
    </row>
    <row r="33" spans="2:13">
      <c r="B33" s="429" t="s">
        <v>627</v>
      </c>
      <c r="C33" s="265" t="s">
        <v>128</v>
      </c>
      <c r="D33" s="606">
        <v>-1.9569560493914537</v>
      </c>
      <c r="E33" s="606">
        <v>-0.87703351543182606</v>
      </c>
      <c r="F33" s="606">
        <v>0.79156598761771968</v>
      </c>
      <c r="G33" s="606">
        <v>-0.2939986646913102</v>
      </c>
      <c r="H33" s="607"/>
      <c r="I33" s="607"/>
      <c r="J33" s="607"/>
      <c r="K33" s="608"/>
    </row>
    <row r="34" spans="2:13">
      <c r="B34" s="429" t="s">
        <v>628</v>
      </c>
      <c r="C34" s="265" t="s">
        <v>128</v>
      </c>
      <c r="D34" s="606">
        <v>0</v>
      </c>
      <c r="E34" s="606">
        <v>-1.7890456458065982</v>
      </c>
      <c r="F34" s="606">
        <v>3.6625101821074715</v>
      </c>
      <c r="G34" s="606">
        <v>0.24549675511836425</v>
      </c>
      <c r="H34" s="607"/>
      <c r="I34" s="607"/>
      <c r="J34" s="607"/>
      <c r="K34" s="608"/>
    </row>
    <row r="35" spans="2:13">
      <c r="B35" s="14" t="s">
        <v>177</v>
      </c>
      <c r="C35" s="265" t="s">
        <v>128</v>
      </c>
      <c r="D35" s="743">
        <f t="shared" ref="D35:K35" si="2">SUM(D22:D34)</f>
        <v>4.4394615649804825</v>
      </c>
      <c r="E35" s="744">
        <f t="shared" si="2"/>
        <v>8.8369368239630361</v>
      </c>
      <c r="F35" s="744">
        <f t="shared" si="2"/>
        <v>7.558663306419672</v>
      </c>
      <c r="G35" s="744">
        <f t="shared" si="2"/>
        <v>6.5200243740605899</v>
      </c>
      <c r="H35" s="744">
        <f t="shared" si="2"/>
        <v>6.3830558580504544</v>
      </c>
      <c r="I35" s="744">
        <f t="shared" si="2"/>
        <v>7.2009251892110235</v>
      </c>
      <c r="J35" s="744">
        <f t="shared" si="2"/>
        <v>7.5049959686247956</v>
      </c>
      <c r="K35" s="745">
        <f t="shared" si="2"/>
        <v>6.9258206319713072</v>
      </c>
    </row>
    <row r="37" spans="2:13" ht="12.75" customHeight="1">
      <c r="B37" s="820" t="s">
        <v>504</v>
      </c>
      <c r="C37" s="265" t="s">
        <v>128</v>
      </c>
      <c r="D37" s="637"/>
      <c r="E37" s="637"/>
      <c r="F37" s="638"/>
      <c r="G37" s="638"/>
      <c r="H37" s="962">
        <v>31.74386003127178</v>
      </c>
      <c r="I37" s="638">
        <v>30.774810717794562</v>
      </c>
      <c r="J37" s="962">
        <v>32.077586537021006</v>
      </c>
      <c r="K37" s="638">
        <v>30.883220331887834</v>
      </c>
    </row>
    <row r="38" spans="2:13" ht="12.75" customHeight="1">
      <c r="B38" s="820" t="s">
        <v>473</v>
      </c>
      <c r="C38" s="265" t="s">
        <v>128</v>
      </c>
      <c r="D38" s="743">
        <f t="shared" ref="D38:K38" si="3">D12+D37-D19-D35</f>
        <v>15.319158730475138</v>
      </c>
      <c r="E38" s="744">
        <f>E12+G37-E19-E35</f>
        <v>8.3300648493415821</v>
      </c>
      <c r="F38" s="744">
        <f>F12+F37-F19-F35</f>
        <v>22.921903287457578</v>
      </c>
      <c r="G38" s="744">
        <f>G12+G37-G19-G35</f>
        <v>20.552473564675967</v>
      </c>
      <c r="H38" s="744">
        <f t="shared" si="3"/>
        <v>25.360804173221325</v>
      </c>
      <c r="I38" s="744">
        <f t="shared" si="3"/>
        <v>23.573885528583538</v>
      </c>
      <c r="J38" s="744">
        <f t="shared" si="3"/>
        <v>24.572590568396208</v>
      </c>
      <c r="K38" s="745">
        <f t="shared" si="3"/>
        <v>23.957399699916529</v>
      </c>
    </row>
    <row r="39" spans="2:13" ht="12.75" customHeight="1">
      <c r="B39" s="480"/>
      <c r="C39" s="265"/>
      <c r="D39" s="265"/>
      <c r="E39" s="265"/>
      <c r="F39" s="265"/>
      <c r="G39" s="265"/>
      <c r="H39" s="265"/>
      <c r="I39" s="265"/>
      <c r="J39" s="265"/>
      <c r="K39" s="265"/>
    </row>
    <row r="40" spans="2:13">
      <c r="B40" s="37" t="s">
        <v>481</v>
      </c>
      <c r="C40" s="266" t="s">
        <v>127</v>
      </c>
      <c r="D40" s="111">
        <f>Data!C$34</f>
        <v>1.0603167467048125</v>
      </c>
      <c r="E40" s="111">
        <f>Data!D$34</f>
        <v>1.0830366813119445</v>
      </c>
      <c r="F40" s="111">
        <f>Data!E$34</f>
        <v>1.1235639113109226</v>
      </c>
      <c r="G40" s="111">
        <f>Data!F$34</f>
        <v>1.1578951670583426</v>
      </c>
      <c r="H40" s="111">
        <f>Data!G$34</f>
        <v>1.1878696229692449</v>
      </c>
      <c r="I40" s="111">
        <f>Data!H$34</f>
        <v>1.2080634065597218</v>
      </c>
      <c r="J40" s="111">
        <f>Data!I$34</f>
        <v>1.2337347539491161</v>
      </c>
      <c r="K40" s="111">
        <f>Data!J$34</f>
        <v>1.2655034238633056</v>
      </c>
      <c r="L40" s="265"/>
    </row>
    <row r="41" spans="2:13">
      <c r="B41" s="198"/>
      <c r="C41" s="265"/>
      <c r="D41" s="265"/>
      <c r="E41" s="265"/>
      <c r="F41" s="265"/>
      <c r="G41" s="265"/>
      <c r="H41" s="265"/>
      <c r="I41" s="265"/>
      <c r="J41" s="265"/>
      <c r="K41" s="265"/>
    </row>
    <row r="42" spans="2:13">
      <c r="B42" s="542" t="s">
        <v>474</v>
      </c>
      <c r="C42" s="395" t="str">
        <f>'RFPR cover'!$C$14</f>
        <v>£m 12/13</v>
      </c>
      <c r="D42" s="785">
        <f t="shared" ref="D42:K42" si="4">D38/D40</f>
        <v>14.447719304710676</v>
      </c>
      <c r="E42" s="786">
        <f t="shared" si="4"/>
        <v>7.6913967856110803</v>
      </c>
      <c r="F42" s="786">
        <f t="shared" si="4"/>
        <v>20.401067582095404</v>
      </c>
      <c r="G42" s="786">
        <f t="shared" si="4"/>
        <v>17.749856938163035</v>
      </c>
      <c r="H42" s="786">
        <f t="shared" si="4"/>
        <v>21.349821295899861</v>
      </c>
      <c r="I42" s="786">
        <f t="shared" si="4"/>
        <v>19.513781644720435</v>
      </c>
      <c r="J42" s="786">
        <f t="shared" si="4"/>
        <v>19.917239495556654</v>
      </c>
      <c r="K42" s="787">
        <f t="shared" si="4"/>
        <v>18.931121993158911</v>
      </c>
    </row>
    <row r="43" spans="2:13">
      <c r="B43" s="820"/>
      <c r="C43" s="820"/>
      <c r="D43" s="820"/>
      <c r="E43" s="820"/>
      <c r="F43" s="820"/>
      <c r="G43" s="820"/>
      <c r="H43" s="820"/>
      <c r="I43" s="820"/>
      <c r="J43" s="820"/>
      <c r="K43" s="820"/>
    </row>
    <row r="44" spans="2:13">
      <c r="B44" s="828" t="s">
        <v>454</v>
      </c>
      <c r="C44" s="209"/>
      <c r="D44" s="209"/>
      <c r="E44" s="209"/>
      <c r="F44" s="209"/>
      <c r="G44" s="209"/>
      <c r="H44" s="209"/>
      <c r="I44" s="209"/>
      <c r="J44" s="209"/>
      <c r="K44" s="209"/>
    </row>
    <row r="45" spans="2:13">
      <c r="B45" s="367" t="s">
        <v>442</v>
      </c>
      <c r="C45" s="430"/>
      <c r="D45" s="430"/>
      <c r="E45" s="430"/>
      <c r="F45" s="430"/>
      <c r="G45" s="430"/>
      <c r="H45" s="430"/>
      <c r="I45" s="430"/>
      <c r="J45" s="430"/>
      <c r="K45" s="430"/>
      <c r="L45" s="430"/>
      <c r="M45" s="430"/>
    </row>
    <row r="47" spans="2:13" ht="12.75" customHeight="1">
      <c r="B47" s="212" t="s">
        <v>115</v>
      </c>
      <c r="C47" s="154" t="s">
        <v>7</v>
      </c>
      <c r="D47" s="889">
        <f>'RFPR cover'!$C$12</f>
        <v>0.65</v>
      </c>
      <c r="E47" s="890">
        <f>'RFPR cover'!$C$12</f>
        <v>0.65</v>
      </c>
      <c r="F47" s="890">
        <f>'RFPR cover'!$C$12</f>
        <v>0.65</v>
      </c>
      <c r="G47" s="890">
        <f>'RFPR cover'!$C$12</f>
        <v>0.65</v>
      </c>
      <c r="H47" s="890">
        <f>'RFPR cover'!$C$12</f>
        <v>0.65</v>
      </c>
      <c r="I47" s="890">
        <f>'RFPR cover'!$C$12</f>
        <v>0.65</v>
      </c>
      <c r="J47" s="890">
        <f>'RFPR cover'!$C$12</f>
        <v>0.65</v>
      </c>
      <c r="K47" s="891">
        <f>'RFPR cover'!$C$12</f>
        <v>0.65</v>
      </c>
    </row>
    <row r="48" spans="2:13" ht="12.75" customHeight="1">
      <c r="B48" s="212" t="s">
        <v>404</v>
      </c>
      <c r="C48" s="154" t="s">
        <v>7</v>
      </c>
      <c r="D48" s="889">
        <f>'R8 - Net Debt'!D57</f>
        <v>0.63218581115767492</v>
      </c>
      <c r="E48" s="890">
        <f>'R8 - Net Debt'!E57</f>
        <v>0.63951474546134746</v>
      </c>
      <c r="F48" s="890">
        <f>'R8 - Net Debt'!F57</f>
        <v>0.63348705574790032</v>
      </c>
      <c r="G48" s="890">
        <f>'R8 - Net Debt'!G57</f>
        <v>0.60777075481910015</v>
      </c>
      <c r="H48" s="890">
        <f>'R8 - Net Debt'!H57</f>
        <v>0.59309842724211403</v>
      </c>
      <c r="I48" s="890">
        <f>'R8 - Net Debt'!I57</f>
        <v>0.60958748471123003</v>
      </c>
      <c r="J48" s="890">
        <f>'R8 - Net Debt'!J57</f>
        <v>0.63183975660720937</v>
      </c>
      <c r="K48" s="891">
        <f>'R8 - Net Debt'!K57</f>
        <v>0.6495283633184078</v>
      </c>
    </row>
    <row r="49" spans="2:14" ht="12.75" customHeight="1">
      <c r="B49" s="212"/>
      <c r="C49" s="154"/>
      <c r="D49" s="154"/>
      <c r="E49" s="154"/>
      <c r="F49" s="154"/>
      <c r="G49" s="154"/>
      <c r="H49" s="154"/>
      <c r="I49" s="154"/>
      <c r="J49" s="154"/>
      <c r="K49" s="154"/>
      <c r="L49" s="154"/>
    </row>
    <row r="50" spans="2:14" ht="12.75" customHeight="1">
      <c r="B50" s="820" t="s">
        <v>474</v>
      </c>
      <c r="C50" s="265" t="s">
        <v>128</v>
      </c>
      <c r="D50" s="785">
        <f>D38</f>
        <v>15.319158730475138</v>
      </c>
      <c r="E50" s="785">
        <f t="shared" ref="E50:K50" si="5">E38</f>
        <v>8.3300648493415821</v>
      </c>
      <c r="F50" s="785">
        <f t="shared" si="5"/>
        <v>22.921903287457578</v>
      </c>
      <c r="G50" s="785">
        <f t="shared" si="5"/>
        <v>20.552473564675967</v>
      </c>
      <c r="H50" s="785">
        <f t="shared" si="5"/>
        <v>25.360804173221325</v>
      </c>
      <c r="I50" s="785">
        <f t="shared" si="5"/>
        <v>23.573885528583538</v>
      </c>
      <c r="J50" s="785">
        <f t="shared" si="5"/>
        <v>24.572590568396208</v>
      </c>
      <c r="K50" s="785">
        <f t="shared" si="5"/>
        <v>23.957399699916529</v>
      </c>
    </row>
    <row r="51" spans="2:14">
      <c r="B51" s="212" t="s">
        <v>455</v>
      </c>
      <c r="C51" s="265" t="s">
        <v>128</v>
      </c>
      <c r="D51" s="785">
        <f>D86-D88</f>
        <v>-0.26503498855026209</v>
      </c>
      <c r="E51" s="785">
        <f t="shared" ref="E51:K51" si="6">E86-E88</f>
        <v>-0.12045041452661998</v>
      </c>
      <c r="F51" s="785">
        <f t="shared" si="6"/>
        <v>-0.11702299400259708</v>
      </c>
      <c r="G51" s="785">
        <f t="shared" si="6"/>
        <v>-0.36155960767751744</v>
      </c>
      <c r="H51" s="785">
        <f t="shared" si="6"/>
        <v>-0.59992237923121428</v>
      </c>
      <c r="I51" s="785">
        <f t="shared" si="6"/>
        <v>-0.55538274165218393</v>
      </c>
      <c r="J51" s="785">
        <f t="shared" si="6"/>
        <v>-0.21482608592679053</v>
      </c>
      <c r="K51" s="785">
        <f t="shared" si="6"/>
        <v>-5.0455210790385507E-3</v>
      </c>
      <c r="L51" s="265"/>
    </row>
    <row r="52" spans="2:14" s="31" customFormat="1">
      <c r="B52" s="829" t="s">
        <v>412</v>
      </c>
      <c r="C52" s="265" t="s">
        <v>128</v>
      </c>
      <c r="D52" s="743">
        <f>SUM(D50:D51)</f>
        <v>15.054123741924876</v>
      </c>
      <c r="E52" s="744">
        <f t="shared" ref="E52:K52" si="7">SUM(E50:E51)</f>
        <v>8.2096144348149629</v>
      </c>
      <c r="F52" s="744">
        <f t="shared" si="7"/>
        <v>22.804880293454982</v>
      </c>
      <c r="G52" s="744">
        <f t="shared" si="7"/>
        <v>20.19091395699845</v>
      </c>
      <c r="H52" s="744">
        <f t="shared" si="7"/>
        <v>24.760881793990112</v>
      </c>
      <c r="I52" s="744">
        <f t="shared" si="7"/>
        <v>23.018502786931354</v>
      </c>
      <c r="J52" s="744">
        <f t="shared" si="7"/>
        <v>24.357764482469417</v>
      </c>
      <c r="K52" s="745">
        <f t="shared" si="7"/>
        <v>23.952354178837489</v>
      </c>
      <c r="L52" s="805"/>
    </row>
    <row r="54" spans="2:14">
      <c r="B54" s="829" t="s">
        <v>412</v>
      </c>
      <c r="C54" s="395" t="str">
        <f>'RFPR cover'!$C$14</f>
        <v>£m 12/13</v>
      </c>
      <c r="D54" s="743">
        <f>D52/D40</f>
        <v>14.19776098860002</v>
      </c>
      <c r="E54" s="744">
        <f t="shared" ref="E54:K54" si="8">E52/E40</f>
        <v>7.5801813331660988</v>
      </c>
      <c r="F54" s="744">
        <f t="shared" si="8"/>
        <v>20.296914188750776</v>
      </c>
      <c r="G54" s="744">
        <f t="shared" si="8"/>
        <v>17.437601029369436</v>
      </c>
      <c r="H54" s="744">
        <f t="shared" si="8"/>
        <v>20.844780702529334</v>
      </c>
      <c r="I54" s="744">
        <f t="shared" si="8"/>
        <v>19.054051850210904</v>
      </c>
      <c r="J54" s="744">
        <f t="shared" si="8"/>
        <v>19.74311285671541</v>
      </c>
      <c r="K54" s="745">
        <f t="shared" si="8"/>
        <v>18.927135025613904</v>
      </c>
    </row>
    <row r="55" spans="2:14">
      <c r="B55" s="829"/>
      <c r="C55" s="395"/>
      <c r="D55" s="395"/>
      <c r="E55" s="395"/>
      <c r="F55" s="395"/>
      <c r="G55" s="395"/>
      <c r="H55" s="395"/>
      <c r="I55" s="395"/>
      <c r="J55" s="395"/>
      <c r="K55" s="395"/>
    </row>
    <row r="57" spans="2:14">
      <c r="B57" s="788" t="s">
        <v>378</v>
      </c>
      <c r="C57" s="789"/>
      <c r="D57" s="789"/>
      <c r="E57" s="789"/>
      <c r="F57" s="789"/>
      <c r="G57" s="789"/>
      <c r="H57" s="789"/>
      <c r="I57" s="789"/>
      <c r="J57" s="789"/>
      <c r="K57" s="789"/>
      <c r="L57" s="789"/>
      <c r="M57" s="488"/>
    </row>
    <row r="58" spans="2:14" s="31" customFormat="1">
      <c r="B58" s="489"/>
      <c r="C58" s="488"/>
      <c r="D58" s="488"/>
      <c r="E58" s="488"/>
      <c r="F58" s="488"/>
      <c r="G58" s="488"/>
      <c r="H58" s="488"/>
      <c r="I58" s="488"/>
      <c r="J58" s="488"/>
      <c r="K58" s="488"/>
      <c r="L58" s="488"/>
      <c r="M58" s="488"/>
    </row>
    <row r="59" spans="2:14">
      <c r="B59" s="366" t="s">
        <v>475</v>
      </c>
      <c r="C59" s="292"/>
      <c r="D59" s="292"/>
      <c r="E59" s="292"/>
      <c r="F59" s="292"/>
      <c r="G59" s="292"/>
      <c r="H59" s="292"/>
      <c r="I59" s="292"/>
      <c r="J59" s="292"/>
      <c r="K59" s="292"/>
      <c r="L59" s="292"/>
      <c r="M59" s="199"/>
      <c r="N59" s="199"/>
    </row>
    <row r="60" spans="2:14" s="31" customFormat="1">
      <c r="B60" s="371"/>
      <c r="C60" s="35"/>
      <c r="D60" s="35"/>
      <c r="E60" s="35"/>
      <c r="F60" s="35"/>
      <c r="G60" s="35"/>
      <c r="H60" s="35"/>
      <c r="I60" s="35"/>
      <c r="J60" s="35"/>
      <c r="K60" s="35"/>
      <c r="L60" s="35"/>
      <c r="M60" s="37"/>
      <c r="N60" s="37"/>
    </row>
    <row r="61" spans="2:14">
      <c r="B61" s="199" t="s">
        <v>377</v>
      </c>
      <c r="C61" s="209" t="str">
        <f>'RFPR cover'!$C$14</f>
        <v>£m 12/13</v>
      </c>
      <c r="D61" s="581">
        <v>11.201524961336524</v>
      </c>
      <c r="E61" s="581">
        <v>11.570225892015683</v>
      </c>
      <c r="F61" s="581">
        <v>17.767011375102584</v>
      </c>
      <c r="G61" s="581">
        <v>15.415555285906173</v>
      </c>
      <c r="H61" s="581">
        <v>16.117524702920363</v>
      </c>
      <c r="I61" s="581">
        <v>14.803733755038186</v>
      </c>
      <c r="J61" s="581">
        <v>14.97904482018081</v>
      </c>
      <c r="K61" s="581">
        <v>14.913869152408166</v>
      </c>
    </row>
    <row r="62" spans="2:14">
      <c r="B62" s="199" t="s">
        <v>380</v>
      </c>
      <c r="C62" s="209" t="str">
        <f>'RFPR cover'!$C$14</f>
        <v>£m 12/13</v>
      </c>
      <c r="D62" s="589"/>
      <c r="E62" s="590"/>
      <c r="F62" s="590"/>
      <c r="G62" s="590"/>
      <c r="H62" s="590"/>
      <c r="I62" s="590"/>
      <c r="J62" s="590"/>
      <c r="K62" s="683"/>
    </row>
    <row r="63" spans="2:14">
      <c r="B63" s="199" t="s">
        <v>381</v>
      </c>
      <c r="C63" s="209" t="str">
        <f>'RFPR cover'!$C$14</f>
        <v>£m 12/13</v>
      </c>
      <c r="D63" s="645">
        <f t="shared" ref="D63:K63" si="9">SUM(D61:D62)</f>
        <v>11.201524961336524</v>
      </c>
      <c r="E63" s="646">
        <f t="shared" si="9"/>
        <v>11.570225892015683</v>
      </c>
      <c r="F63" s="646">
        <f t="shared" si="9"/>
        <v>17.767011375102584</v>
      </c>
      <c r="G63" s="646">
        <f t="shared" si="9"/>
        <v>15.415555285906173</v>
      </c>
      <c r="H63" s="646">
        <f t="shared" si="9"/>
        <v>16.117524702920363</v>
      </c>
      <c r="I63" s="646">
        <f t="shared" si="9"/>
        <v>14.803733755038186</v>
      </c>
      <c r="J63" s="646">
        <f t="shared" si="9"/>
        <v>14.97904482018081</v>
      </c>
      <c r="K63" s="647">
        <f t="shared" si="9"/>
        <v>14.913869152408166</v>
      </c>
    </row>
    <row r="64" spans="2:14">
      <c r="B64" s="199"/>
      <c r="C64" s="209"/>
      <c r="D64" s="209"/>
      <c r="E64" s="209"/>
      <c r="F64" s="209"/>
      <c r="G64" s="209"/>
      <c r="H64" s="209"/>
      <c r="I64" s="209"/>
      <c r="J64" s="209"/>
      <c r="K64" s="209"/>
      <c r="L64" s="209"/>
    </row>
    <row r="65" spans="2:13">
      <c r="B65" s="511" t="s">
        <v>476</v>
      </c>
      <c r="C65" s="292"/>
      <c r="D65" s="292"/>
      <c r="E65" s="292"/>
      <c r="F65" s="292"/>
      <c r="G65" s="292"/>
      <c r="H65" s="292"/>
      <c r="I65" s="292"/>
      <c r="J65" s="292"/>
      <c r="K65" s="292"/>
      <c r="L65" s="292"/>
    </row>
    <row r="66" spans="2:13" s="31" customFormat="1">
      <c r="B66" s="512"/>
      <c r="C66" s="35"/>
      <c r="D66" s="35"/>
      <c r="E66" s="35"/>
      <c r="F66" s="35"/>
      <c r="G66" s="35"/>
      <c r="H66" s="35"/>
      <c r="I66" s="35"/>
      <c r="J66" s="35"/>
      <c r="K66" s="35"/>
      <c r="L66" s="35"/>
    </row>
    <row r="67" spans="2:13">
      <c r="B67" s="199" t="s">
        <v>368</v>
      </c>
      <c r="C67" s="209" t="str">
        <f>'RFPR cover'!$C$14</f>
        <v>£m 12/13</v>
      </c>
      <c r="D67" s="581">
        <v>11.201524961336526</v>
      </c>
      <c r="E67" s="581">
        <v>11.383982554562166</v>
      </c>
      <c r="F67" s="581">
        <v>17.948223630155514</v>
      </c>
      <c r="G67" s="581">
        <v>15.408286354017967</v>
      </c>
      <c r="H67" s="963">
        <v>15.817664831209303</v>
      </c>
      <c r="I67" s="963">
        <v>15.676200179083727</v>
      </c>
      <c r="J67" s="963">
        <v>15.455131947311814</v>
      </c>
      <c r="K67" s="963">
        <v>15.151812021783547</v>
      </c>
    </row>
    <row r="68" spans="2:13">
      <c r="B68" s="199" t="s">
        <v>383</v>
      </c>
      <c r="C68" s="209" t="str">
        <f>'RFPR cover'!$C$14</f>
        <v>£m 12/13</v>
      </c>
      <c r="D68" s="589"/>
      <c r="E68" s="590"/>
      <c r="F68" s="590"/>
      <c r="G68" s="590"/>
      <c r="H68" s="590"/>
      <c r="I68" s="590"/>
      <c r="J68" s="590"/>
      <c r="K68" s="683"/>
    </row>
    <row r="69" spans="2:13">
      <c r="B69" s="14" t="s">
        <v>384</v>
      </c>
      <c r="C69" s="209" t="str">
        <f>'RFPR cover'!$C$14</f>
        <v>£m 12/13</v>
      </c>
      <c r="D69" s="609">
        <f t="shared" ref="D69:K69" si="10">SUM(D67:D68)</f>
        <v>11.201524961336526</v>
      </c>
      <c r="E69" s="610">
        <f t="shared" si="10"/>
        <v>11.383982554562166</v>
      </c>
      <c r="F69" s="610">
        <f t="shared" si="10"/>
        <v>17.948223630155514</v>
      </c>
      <c r="G69" s="610">
        <f t="shared" si="10"/>
        <v>15.408286354017967</v>
      </c>
      <c r="H69" s="610">
        <f t="shared" si="10"/>
        <v>15.817664831209303</v>
      </c>
      <c r="I69" s="610">
        <f t="shared" si="10"/>
        <v>15.676200179083727</v>
      </c>
      <c r="J69" s="610">
        <f t="shared" si="10"/>
        <v>15.455131947311814</v>
      </c>
      <c r="K69" s="611">
        <f t="shared" si="10"/>
        <v>15.151812021783547</v>
      </c>
    </row>
    <row r="70" spans="2:13" s="31" customFormat="1">
      <c r="B70" s="512"/>
      <c r="C70" s="35"/>
      <c r="D70" s="746"/>
      <c r="E70" s="746"/>
      <c r="F70" s="746"/>
      <c r="G70" s="746"/>
      <c r="H70" s="746"/>
      <c r="I70" s="746"/>
      <c r="J70" s="746"/>
      <c r="K70" s="746"/>
      <c r="L70" s="35"/>
    </row>
    <row r="71" spans="2:13" s="31" customFormat="1">
      <c r="B71" s="513" t="s">
        <v>382</v>
      </c>
      <c r="C71" s="35"/>
      <c r="D71" s="701">
        <f t="shared" ref="D71:K71" si="11">D69-D63</f>
        <v>0</v>
      </c>
      <c r="E71" s="702">
        <f t="shared" si="11"/>
        <v>-0.18624333745351684</v>
      </c>
      <c r="F71" s="702">
        <f t="shared" si="11"/>
        <v>0.18121225505293026</v>
      </c>
      <c r="G71" s="702">
        <f t="shared" si="11"/>
        <v>-7.2689318882055431E-3</v>
      </c>
      <c r="H71" s="702">
        <f t="shared" si="11"/>
        <v>-0.29985987171106032</v>
      </c>
      <c r="I71" s="702">
        <f t="shared" si="11"/>
        <v>0.87246642404554109</v>
      </c>
      <c r="J71" s="702">
        <f t="shared" si="11"/>
        <v>0.4760871271310041</v>
      </c>
      <c r="K71" s="703">
        <f t="shared" si="11"/>
        <v>0.23794286937538089</v>
      </c>
      <c r="L71" s="35"/>
    </row>
    <row r="72" spans="2:13">
      <c r="B72" s="199" t="s">
        <v>379</v>
      </c>
      <c r="C72" s="209" t="str">
        <f>'RFPR cover'!$C$14</f>
        <v>£m 12/13</v>
      </c>
      <c r="D72" s="585">
        <v>0</v>
      </c>
      <c r="E72" s="585">
        <v>0</v>
      </c>
      <c r="F72" s="585">
        <v>-1.0941930030428235</v>
      </c>
      <c r="G72" s="585">
        <v>-0.90093756084027499</v>
      </c>
      <c r="H72" s="585">
        <v>-0.84138349331259055</v>
      </c>
      <c r="I72" s="585">
        <v>-0.86754961841646261</v>
      </c>
      <c r="J72" s="585">
        <v>-0.90550600681594851</v>
      </c>
      <c r="K72" s="585">
        <v>-0.90383084629558041</v>
      </c>
    </row>
    <row r="73" spans="2:13">
      <c r="B73" s="199" t="s">
        <v>430</v>
      </c>
      <c r="C73" s="209" t="str">
        <f>'RFPR cover'!$C$14</f>
        <v>£m 12/13</v>
      </c>
      <c r="D73" s="585">
        <v>0</v>
      </c>
      <c r="E73" s="585">
        <v>0</v>
      </c>
      <c r="F73" s="585">
        <v>1.0941930030428235</v>
      </c>
      <c r="G73" s="585">
        <v>0.90093756084027499</v>
      </c>
      <c r="H73" s="585">
        <v>-1.3250776956631918</v>
      </c>
      <c r="I73" s="585">
        <v>-1.3382667457974637</v>
      </c>
      <c r="J73" s="585">
        <v>-1.3516700702847573</v>
      </c>
      <c r="K73" s="585">
        <v>-1.3651247802570188</v>
      </c>
    </row>
    <row r="74" spans="2:13">
      <c r="B74" s="199" t="s">
        <v>333</v>
      </c>
      <c r="C74" s="209" t="str">
        <f>'RFPR cover'!$C$14</f>
        <v>£m 12/13</v>
      </c>
      <c r="D74" s="747">
        <f>D71-D72-D73</f>
        <v>0</v>
      </c>
      <c r="E74" s="747">
        <f t="shared" ref="E74:K74" si="12">E71-E72-E73</f>
        <v>-0.18624333745351684</v>
      </c>
      <c r="F74" s="747">
        <f t="shared" si="12"/>
        <v>0.18121225505293026</v>
      </c>
      <c r="G74" s="747">
        <f t="shared" si="12"/>
        <v>-7.2689318882055431E-3</v>
      </c>
      <c r="H74" s="964">
        <f t="shared" si="12"/>
        <v>1.866601317264722</v>
      </c>
      <c r="I74" s="964">
        <f t="shared" si="12"/>
        <v>3.0782827882594672</v>
      </c>
      <c r="J74" s="964">
        <f t="shared" si="12"/>
        <v>2.7332632042317098</v>
      </c>
      <c r="K74" s="964">
        <f t="shared" si="12"/>
        <v>2.5068984959279801</v>
      </c>
    </row>
    <row r="75" spans="2:13">
      <c r="B75" s="199" t="s">
        <v>122</v>
      </c>
      <c r="C75" s="209" t="str">
        <f>'RFPR cover'!$C$14</f>
        <v>£m 12/13</v>
      </c>
      <c r="D75" s="514" t="str">
        <f>IF(ABS(D71-SUM(D72:D74))&lt;'RFPR cover'!$F$14,"OK","ERROR")</f>
        <v>OK</v>
      </c>
      <c r="E75" s="515" t="str">
        <f>IF(ABS(E71-SUM(E72:E74))&lt;'RFPR cover'!$F$14,"OK","ERROR")</f>
        <v>OK</v>
      </c>
      <c r="F75" s="515" t="str">
        <f>IF(ABS(F71-SUM(F72:F74))&lt;'RFPR cover'!$F$14,"OK","ERROR")</f>
        <v>OK</v>
      </c>
      <c r="G75" s="515" t="str">
        <f>IF(ABS(G71-SUM(G72:G74))&lt;'RFPR cover'!$F$14,"OK","ERROR")</f>
        <v>OK</v>
      </c>
      <c r="H75" s="515" t="str">
        <f>IF(ABS(H71-SUM(H72:H74))&lt;'RFPR cover'!$F$14,"OK","ERROR")</f>
        <v>OK</v>
      </c>
      <c r="I75" s="515" t="str">
        <f>IF(ABS(I71-SUM(I72:I74))&lt;'RFPR cover'!$F$14,"OK","ERROR")</f>
        <v>OK</v>
      </c>
      <c r="J75" s="515" t="str">
        <f>IF(ABS(J71-SUM(J72:J74))&lt;'RFPR cover'!$F$14,"OK","ERROR")</f>
        <v>OK</v>
      </c>
      <c r="K75" s="516" t="str">
        <f>IF(ABS(K71-SUM(K72:K74))&lt;'RFPR cover'!$F$14,"OK","ERROR")</f>
        <v>OK</v>
      </c>
    </row>
    <row r="76" spans="2:13">
      <c r="B76" s="199"/>
      <c r="C76" s="199"/>
      <c r="D76" s="199"/>
      <c r="E76" s="199"/>
      <c r="F76" s="199"/>
      <c r="G76" s="199"/>
      <c r="H76" s="199"/>
      <c r="I76" s="199"/>
      <c r="J76" s="199"/>
      <c r="K76" s="199"/>
      <c r="L76" s="199"/>
      <c r="M76" s="199"/>
    </row>
    <row r="78" spans="2:13">
      <c r="B78" s="833" t="s">
        <v>432</v>
      </c>
      <c r="C78" s="833"/>
      <c r="D78" s="833"/>
      <c r="E78" s="833"/>
      <c r="F78" s="833"/>
      <c r="G78" s="833"/>
      <c r="H78" s="833"/>
      <c r="I78" s="833"/>
      <c r="J78" s="833"/>
      <c r="K78" s="833"/>
      <c r="L78" s="833"/>
    </row>
    <row r="80" spans="2:13">
      <c r="B80" s="14" t="s">
        <v>433</v>
      </c>
      <c r="C80" s="210" t="str">
        <f>'RFPR cover'!$C$14</f>
        <v>£m 12/13</v>
      </c>
      <c r="D80" s="609">
        <f t="shared" ref="D80:K80" si="13">D$69-D42</f>
        <v>-3.2461943433741496</v>
      </c>
      <c r="E80" s="610">
        <f t="shared" si="13"/>
        <v>3.6925857689510861</v>
      </c>
      <c r="F80" s="610">
        <f t="shared" si="13"/>
        <v>-2.4528439519398901</v>
      </c>
      <c r="G80" s="610">
        <f t="shared" si="13"/>
        <v>-2.3415705841450674</v>
      </c>
      <c r="H80" s="610">
        <f t="shared" si="13"/>
        <v>-5.5321564646905586</v>
      </c>
      <c r="I80" s="610">
        <f t="shared" si="13"/>
        <v>-3.837581465636708</v>
      </c>
      <c r="J80" s="610">
        <f t="shared" si="13"/>
        <v>-4.4621075482448394</v>
      </c>
      <c r="K80" s="611">
        <f t="shared" si="13"/>
        <v>-3.7793099713753637</v>
      </c>
    </row>
    <row r="81" spans="2:11">
      <c r="B81" s="14"/>
      <c r="C81" s="14"/>
      <c r="D81" s="14"/>
      <c r="E81" s="14"/>
      <c r="F81" s="14"/>
      <c r="G81" s="14"/>
      <c r="H81" s="14"/>
      <c r="I81" s="14"/>
      <c r="J81" s="14"/>
      <c r="K81" s="14"/>
    </row>
    <row r="82" spans="2:11">
      <c r="B82" s="14" t="s">
        <v>444</v>
      </c>
      <c r="C82" s="210" t="str">
        <f>'RFPR cover'!$C$14</f>
        <v>£m 12/13</v>
      </c>
      <c r="D82" s="609">
        <f t="shared" ref="D82:K82" si="14">D$69-D54</f>
        <v>-2.9962360272634943</v>
      </c>
      <c r="E82" s="610">
        <f t="shared" si="14"/>
        <v>3.8038012213960677</v>
      </c>
      <c r="F82" s="610">
        <f t="shared" si="14"/>
        <v>-2.348690558595262</v>
      </c>
      <c r="G82" s="610">
        <f t="shared" si="14"/>
        <v>-2.0293146753514684</v>
      </c>
      <c r="H82" s="610">
        <f t="shared" si="14"/>
        <v>-5.0271158713200315</v>
      </c>
      <c r="I82" s="610">
        <f t="shared" si="14"/>
        <v>-3.3778516711271767</v>
      </c>
      <c r="J82" s="610">
        <f t="shared" si="14"/>
        <v>-4.2879809094035952</v>
      </c>
      <c r="K82" s="611">
        <f t="shared" si="14"/>
        <v>-3.7753230038303567</v>
      </c>
    </row>
    <row r="84" spans="2:11">
      <c r="B84" s="14" t="s">
        <v>443</v>
      </c>
      <c r="C84" s="210" t="str">
        <f>'RFPR cover'!$C$14</f>
        <v>£m 12/13</v>
      </c>
      <c r="D84" s="609">
        <f>D80-D82</f>
        <v>-0.24995831611065533</v>
      </c>
      <c r="E84" s="610">
        <f t="shared" ref="E84:K84" si="15">E80-E82</f>
        <v>-0.11121545244498154</v>
      </c>
      <c r="F84" s="610">
        <f t="shared" si="15"/>
        <v>-0.10415339334462814</v>
      </c>
      <c r="G84" s="610">
        <f t="shared" si="15"/>
        <v>-0.31225590879359899</v>
      </c>
      <c r="H84" s="610">
        <f t="shared" si="15"/>
        <v>-0.50504059337052709</v>
      </c>
      <c r="I84" s="610">
        <f t="shared" si="15"/>
        <v>-0.45972979450953133</v>
      </c>
      <c r="J84" s="610">
        <f t="shared" si="15"/>
        <v>-0.17412663884124413</v>
      </c>
      <c r="K84" s="611">
        <f t="shared" si="15"/>
        <v>-3.9869675450070474E-3</v>
      </c>
    </row>
    <row r="86" spans="2:11">
      <c r="B86" t="s">
        <v>527</v>
      </c>
      <c r="C86" s="265" t="s">
        <v>128</v>
      </c>
      <c r="D86" s="585">
        <f>-'R7 - Financing'!D86*Data!$G$20*D$40</f>
        <v>2.6469482418849064</v>
      </c>
      <c r="E86" s="585">
        <f>-'R7 - Financing'!E86*Data!$G$21*E$40</f>
        <v>0.7077932762342326</v>
      </c>
      <c r="F86" s="585">
        <f>-'R7 - Financing'!F86*Data!$G$22*F$40</f>
        <v>-1.724798096935797</v>
      </c>
      <c r="G86" s="585">
        <f>-'R7 - Financing'!G86*Data!$G$23*G$40</f>
        <v>-0.35959210193541519</v>
      </c>
      <c r="H86" s="585">
        <f>-'R7 - Financing'!H86*Data!$G$24*H$40</f>
        <v>1.4776593045625876</v>
      </c>
      <c r="I86" s="585">
        <f>-'R7 - Financing'!I86*Data!$G$25*I$40</f>
        <v>4.9823772576982552</v>
      </c>
      <c r="J86" s="585">
        <f>-'R7 - Financing'!J86*Data!$G$26*J$40</f>
        <v>4.9738196191868305</v>
      </c>
      <c r="K86" s="585">
        <f>-'R7 - Financing'!K86*Data!$G$27*K$40</f>
        <v>5.3745404856613996</v>
      </c>
    </row>
    <row r="87" spans="2:11">
      <c r="B87" t="s">
        <v>527</v>
      </c>
      <c r="C87" s="395" t="str">
        <f>'RFPR cover'!$C$14</f>
        <v>£m 12/13</v>
      </c>
      <c r="D87" s="785">
        <f>D86/D$40</f>
        <v>2.4963750220025576</v>
      </c>
      <c r="E87" s="785">
        <f t="shared" ref="E87:K87" si="16">E86/E$40</f>
        <v>0.65352659651087897</v>
      </c>
      <c r="F87" s="785">
        <f t="shared" si="16"/>
        <v>-1.5351134720261548</v>
      </c>
      <c r="G87" s="785">
        <f t="shared" si="16"/>
        <v>-0.31055669992039658</v>
      </c>
      <c r="H87" s="785">
        <f t="shared" si="16"/>
        <v>1.2439574815197085</v>
      </c>
      <c r="I87" s="785">
        <f t="shared" si="16"/>
        <v>4.1242680066660444</v>
      </c>
      <c r="J87" s="785">
        <f t="shared" si="16"/>
        <v>4.0315145563225085</v>
      </c>
      <c r="K87" s="785">
        <f t="shared" si="16"/>
        <v>4.2469584706883694</v>
      </c>
    </row>
    <row r="88" spans="2:11">
      <c r="B88" t="s">
        <v>528</v>
      </c>
      <c r="C88" s="265" t="s">
        <v>128</v>
      </c>
      <c r="D88" s="585">
        <f>-'R7 - Financing'!D88*Data!$G$20*D$40</f>
        <v>2.9119832304351685</v>
      </c>
      <c r="E88" s="585">
        <f>-'R7 - Financing'!E88*Data!$G$21*E$40</f>
        <v>0.82824369076085258</v>
      </c>
      <c r="F88" s="585">
        <f>-'R7 - Financing'!F88*Data!$G$22*F$40</f>
        <v>-1.6077751029331999</v>
      </c>
      <c r="G88" s="585">
        <f>-'R7 - Financing'!G88*Data!$G$23*G$40</f>
        <v>1.9675057421022716E-3</v>
      </c>
      <c r="H88" s="585">
        <f>-'R7 - Financing'!H88*Data!$G$24*H$40</f>
        <v>2.0775816837938019</v>
      </c>
      <c r="I88" s="585">
        <f>-'R7 - Financing'!I88*Data!$G$25*I$40</f>
        <v>5.5377599993504392</v>
      </c>
      <c r="J88" s="585">
        <f>-'R7 - Financing'!J88*Data!$G$26*J$40</f>
        <v>5.188645705113621</v>
      </c>
      <c r="K88" s="585">
        <f>-'R7 - Financing'!K88*Data!$G$27*K$40</f>
        <v>5.3795860067404382</v>
      </c>
    </row>
    <row r="89" spans="2:11">
      <c r="B89" t="s">
        <v>528</v>
      </c>
      <c r="C89" s="395" t="str">
        <f>'RFPR cover'!$C$14</f>
        <v>£m 12/13</v>
      </c>
      <c r="D89" s="785">
        <f t="shared" ref="D89:K89" si="17">D88/D$40</f>
        <v>2.746333338113212</v>
      </c>
      <c r="E89" s="785">
        <f t="shared" si="17"/>
        <v>0.76474204895586129</v>
      </c>
      <c r="F89" s="785">
        <f t="shared" si="17"/>
        <v>-1.4309600786815251</v>
      </c>
      <c r="G89" s="785">
        <f t="shared" si="17"/>
        <v>1.6992088732011568E-3</v>
      </c>
      <c r="H89" s="785">
        <f t="shared" si="17"/>
        <v>1.7489980748902378</v>
      </c>
      <c r="I89" s="785">
        <f t="shared" si="17"/>
        <v>4.5839978011755749</v>
      </c>
      <c r="J89" s="785">
        <f t="shared" si="17"/>
        <v>4.2056411951637545</v>
      </c>
      <c r="K89" s="785">
        <f t="shared" si="17"/>
        <v>4.2509454382333764</v>
      </c>
    </row>
    <row r="90" spans="2:11">
      <c r="B90" t="s">
        <v>531</v>
      </c>
      <c r="C90" s="395" t="str">
        <f>'RFPR cover'!$C$14</f>
        <v>£m 12/13</v>
      </c>
      <c r="D90" s="785">
        <f>D87-D89</f>
        <v>-0.24995831611065444</v>
      </c>
      <c r="E90" s="785">
        <f t="shared" ref="E90:K90" si="18">E87-E89</f>
        <v>-0.11121545244498232</v>
      </c>
      <c r="F90" s="785">
        <f t="shared" si="18"/>
        <v>-0.1041533933446297</v>
      </c>
      <c r="G90" s="785">
        <f t="shared" si="18"/>
        <v>-0.31225590879359771</v>
      </c>
      <c r="H90" s="785">
        <f t="shared" si="18"/>
        <v>-0.50504059337052931</v>
      </c>
      <c r="I90" s="785">
        <f t="shared" si="18"/>
        <v>-0.45972979450953044</v>
      </c>
      <c r="J90" s="785">
        <f t="shared" si="18"/>
        <v>-0.17412663884124591</v>
      </c>
      <c r="K90" s="785">
        <f t="shared" si="18"/>
        <v>-3.9869675450070474E-3</v>
      </c>
    </row>
  </sheetData>
  <conditionalFormatting sqref="D6:K7">
    <cfRule type="expression" dxfId="29" priority="72">
      <formula>AND(D$6="Actuals",E$6="Forecast")</formula>
    </cfRule>
  </conditionalFormatting>
  <conditionalFormatting sqref="D5:K5">
    <cfRule type="expression" dxfId="28" priority="47">
      <formula>AND(D$5="Actuals",E$5="Forecast")</formula>
    </cfRule>
  </conditionalFormatting>
  <conditionalFormatting sqref="D37:F37">
    <cfRule type="expression" dxfId="27" priority="15">
      <formula>AND(D$5="Actuals",E$5="Actuals")</formula>
    </cfRule>
  </conditionalFormatting>
  <conditionalFormatting sqref="H24:K34 D12:K12 D15:K19">
    <cfRule type="expression" dxfId="26" priority="14">
      <formula>NOT(AND(D$5="Actuals"))</formula>
    </cfRule>
  </conditionalFormatting>
  <conditionalFormatting sqref="G37">
    <cfRule type="expression" dxfId="25" priority="180">
      <formula>AND(E$5="Actuals",F$5="Actuals")</formula>
    </cfRule>
  </conditionalFormatting>
  <conditionalFormatting sqref="D24:G34">
    <cfRule type="expression" dxfId="24" priority="3">
      <formula>NOT(AND(D$5="Actuals"))</formula>
    </cfRule>
  </conditionalFormatting>
  <conditionalFormatting sqref="H37:K37">
    <cfRule type="expression" dxfId="23" priority="1">
      <formula>AND(H$5="Actuals",I$5="Actuals")</formula>
    </cfRule>
  </conditionalFormatting>
  <pageMargins left="0.70866141732283472" right="0.70866141732283472" top="0.74803149606299213" bottom="0.74803149606299213" header="0.31496062992125984" footer="0.31496062992125984"/>
  <pageSetup paperSize="8" scale="7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1" customFormat="1" ht="21">
      <c r="A1" s="923" t="s">
        <v>260</v>
      </c>
      <c r="B1" s="934"/>
      <c r="C1" s="119"/>
      <c r="D1" s="119"/>
      <c r="E1" s="119"/>
      <c r="F1" s="119"/>
      <c r="G1" s="119"/>
      <c r="H1" s="119"/>
      <c r="I1" s="125"/>
      <c r="J1" s="125"/>
      <c r="K1" s="126"/>
      <c r="L1" s="127"/>
    </row>
    <row r="2" spans="1:18" s="31" customFormat="1" ht="21">
      <c r="A2" s="908" t="str">
        <f>'RFPR cover'!C5</f>
        <v>WPD-EMID</v>
      </c>
      <c r="B2" s="900"/>
      <c r="C2" s="29"/>
      <c r="D2" s="29"/>
      <c r="E2" s="29"/>
      <c r="F2" s="29"/>
      <c r="G2" s="29"/>
      <c r="H2" s="29"/>
      <c r="I2" s="27"/>
      <c r="J2" s="27"/>
      <c r="K2" s="27"/>
      <c r="L2" s="122"/>
    </row>
    <row r="3" spans="1:18" s="31" customFormat="1" ht="22.8">
      <c r="A3" s="925">
        <f>'RFPR cover'!C7</f>
        <v>2020</v>
      </c>
      <c r="B3" s="917" t="str">
        <f>'R1 - RoRE'!B3</f>
        <v/>
      </c>
      <c r="C3" s="123"/>
      <c r="D3" s="123"/>
      <c r="E3" s="123"/>
      <c r="F3" s="123"/>
      <c r="G3" s="123"/>
      <c r="H3" s="123"/>
      <c r="I3" s="28"/>
      <c r="J3" s="28"/>
      <c r="K3" s="28"/>
      <c r="L3" s="124"/>
    </row>
    <row r="4" spans="1:18" s="2" customFormat="1" ht="12.75" customHeight="1"/>
    <row r="5" spans="1:18" s="2" customFormat="1">
      <c r="B5" s="3"/>
      <c r="C5" s="3"/>
      <c r="D5" s="388" t="str">
        <f>IF(D6&lt;='RFPR cover'!$C$7,"Actuals","N/A")</f>
        <v>Actuals</v>
      </c>
      <c r="E5" s="389" t="str">
        <f>IF(E6&lt;='RFPR cover'!$C$7,"Actuals","N/A")</f>
        <v>Actuals</v>
      </c>
      <c r="F5" s="389" t="str">
        <f>IF(F6&lt;='RFPR cover'!$C$7,"Actuals","N/A")</f>
        <v>Actuals</v>
      </c>
      <c r="G5" s="389" t="str">
        <f>IF(G6&lt;='RFPR cover'!$C$7,"Actuals","N/A")</f>
        <v>Actuals</v>
      </c>
      <c r="H5" s="389" t="str">
        <f>IF(H6&lt;='RFPR cover'!$C$7,"Actuals","N/A")</f>
        <v>Actuals</v>
      </c>
      <c r="I5" s="389" t="str">
        <f>IF(I6&lt;='RFPR cover'!$C$7,"Actuals","N/A")</f>
        <v>N/A</v>
      </c>
      <c r="J5" s="389" t="str">
        <f>IF(J6&lt;='RFPR cover'!$C$7,"Actuals","N/A")</f>
        <v>N/A</v>
      </c>
      <c r="K5" s="390" t="str">
        <f>IF(K6&lt;='RFPR cover'!$C$7,"Actuals","N/A")</f>
        <v>N/A</v>
      </c>
    </row>
    <row r="6" spans="1:18" s="2" customFormat="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8" s="2" customFormat="1"/>
    <row r="8" spans="1:18">
      <c r="B8" s="14" t="s">
        <v>230</v>
      </c>
      <c r="C8" s="151" t="s">
        <v>128</v>
      </c>
      <c r="D8" s="637">
        <v>52.4</v>
      </c>
      <c r="E8" s="638">
        <v>130</v>
      </c>
      <c r="F8" s="638">
        <v>113.39999999999999</v>
      </c>
      <c r="G8" s="638">
        <v>30</v>
      </c>
      <c r="H8" s="638">
        <v>64.7</v>
      </c>
      <c r="I8" s="638"/>
      <c r="J8" s="638"/>
      <c r="K8" s="639"/>
    </row>
    <row r="9" spans="1:18">
      <c r="B9" s="15" t="s">
        <v>105</v>
      </c>
      <c r="C9" s="14"/>
      <c r="D9" s="748"/>
      <c r="E9" s="748"/>
      <c r="F9" s="748"/>
      <c r="G9" s="748"/>
      <c r="H9" s="748"/>
      <c r="I9" s="748"/>
      <c r="J9" s="748"/>
      <c r="K9" s="748"/>
    </row>
    <row r="10" spans="1:18">
      <c r="B10" s="429" t="s">
        <v>616</v>
      </c>
      <c r="C10" s="151" t="s">
        <v>128</v>
      </c>
      <c r="D10" s="593">
        <v>0.70530718070329035</v>
      </c>
      <c r="E10" s="594">
        <v>4.5555230016632677</v>
      </c>
      <c r="F10" s="594">
        <v>5.1345820471639163</v>
      </c>
      <c r="G10" s="594">
        <v>2.1504056604487256</v>
      </c>
      <c r="H10" s="594">
        <v>3.8163456235059972</v>
      </c>
      <c r="I10" s="594"/>
      <c r="J10" s="594"/>
      <c r="K10" s="604"/>
    </row>
    <row r="11" spans="1:18">
      <c r="B11" s="429" t="s">
        <v>22</v>
      </c>
      <c r="C11" s="151" t="s">
        <v>128</v>
      </c>
      <c r="D11" s="595"/>
      <c r="E11" s="596"/>
      <c r="F11" s="596"/>
      <c r="G11" s="596"/>
      <c r="H11" s="596"/>
      <c r="I11" s="596"/>
      <c r="J11" s="596"/>
      <c r="K11" s="605"/>
    </row>
    <row r="12" spans="1:18">
      <c r="B12" s="429" t="s">
        <v>20</v>
      </c>
      <c r="C12" s="151" t="s">
        <v>128</v>
      </c>
      <c r="D12" s="606"/>
      <c r="E12" s="607"/>
      <c r="F12" s="607"/>
      <c r="G12" s="607"/>
      <c r="H12" s="607"/>
      <c r="I12" s="607"/>
      <c r="J12" s="607"/>
      <c r="K12" s="608"/>
      <c r="Q12" s="215"/>
    </row>
    <row r="13" spans="1:18">
      <c r="B13" s="14" t="s">
        <v>106</v>
      </c>
      <c r="C13" s="151" t="s">
        <v>128</v>
      </c>
      <c r="D13" s="738">
        <f>D8-SUM(D10:D12)</f>
        <v>51.694692819296705</v>
      </c>
      <c r="E13" s="739">
        <f t="shared" ref="E13:K13" si="1">E8-SUM(E10:E12)</f>
        <v>125.44447699833674</v>
      </c>
      <c r="F13" s="739">
        <f t="shared" si="1"/>
        <v>108.26541795283607</v>
      </c>
      <c r="G13" s="739">
        <f t="shared" si="1"/>
        <v>27.849594339551274</v>
      </c>
      <c r="H13" s="739">
        <f t="shared" si="1"/>
        <v>60.883654376494007</v>
      </c>
      <c r="I13" s="739">
        <f t="shared" si="1"/>
        <v>0</v>
      </c>
      <c r="J13" s="739">
        <f t="shared" si="1"/>
        <v>0</v>
      </c>
      <c r="K13" s="740">
        <f t="shared" si="1"/>
        <v>0</v>
      </c>
      <c r="R13" s="214"/>
    </row>
    <row r="14" spans="1:18">
      <c r="C14" s="14"/>
      <c r="Q14" s="215"/>
    </row>
    <row r="15" spans="1:18">
      <c r="B15" s="14" t="s">
        <v>503</v>
      </c>
      <c r="C15" s="151" t="s">
        <v>128</v>
      </c>
      <c r="D15" s="593">
        <v>0</v>
      </c>
      <c r="E15" s="594">
        <v>0</v>
      </c>
      <c r="F15" s="594">
        <v>0</v>
      </c>
      <c r="G15" s="594">
        <v>0</v>
      </c>
      <c r="H15" s="594">
        <v>0</v>
      </c>
      <c r="I15" s="594"/>
      <c r="J15" s="594"/>
      <c r="K15" s="604"/>
    </row>
  </sheetData>
  <conditionalFormatting sqref="D6:K6">
    <cfRule type="expression" dxfId="22" priority="10">
      <formula>AND(D$5="Actuals",E$5="N/A")</formula>
    </cfRule>
  </conditionalFormatting>
  <conditionalFormatting sqref="D5:K5">
    <cfRule type="expression" dxfId="21" priority="3">
      <formula>AND(D$5="Actuals",E$5="N/A")</formula>
    </cfRule>
  </conditionalFormatting>
  <conditionalFormatting sqref="D8:K8 D5:K6 D10:K13">
    <cfRule type="expression" dxfId="20" priority="2">
      <formula>D$5="N/A"</formula>
    </cfRule>
  </conditionalFormatting>
  <conditionalFormatting sqref="D15:K15">
    <cfRule type="expression" dxfId="19"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topLeftCell="B1"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1" customFormat="1" ht="21">
      <c r="A1" s="919" t="s">
        <v>259</v>
      </c>
      <c r="B1" s="915"/>
      <c r="C1" s="255"/>
      <c r="D1" s="255"/>
      <c r="E1" s="255"/>
      <c r="F1" s="255"/>
      <c r="G1" s="255"/>
      <c r="H1" s="255"/>
      <c r="I1" s="256"/>
      <c r="J1" s="256"/>
      <c r="K1" s="257"/>
      <c r="L1" s="258"/>
    </row>
    <row r="2" spans="1:12" s="31" customFormat="1" ht="21">
      <c r="A2" s="908" t="str">
        <f>'RFPR cover'!C5</f>
        <v>WPD-EMID</v>
      </c>
      <c r="B2" s="900"/>
      <c r="C2" s="29"/>
      <c r="D2" s="29"/>
      <c r="E2" s="29"/>
      <c r="F2" s="29"/>
      <c r="G2" s="29"/>
      <c r="H2" s="29"/>
      <c r="I2" s="27"/>
      <c r="J2" s="27"/>
      <c r="K2" s="27"/>
      <c r="L2" s="122"/>
    </row>
    <row r="3" spans="1:12" s="31" customFormat="1" ht="21">
      <c r="A3" s="911">
        <f>'RFPR cover'!C7</f>
        <v>2020</v>
      </c>
      <c r="B3" s="918"/>
      <c r="C3" s="259"/>
      <c r="D3" s="259"/>
      <c r="E3" s="259"/>
      <c r="F3" s="259"/>
      <c r="G3" s="259"/>
      <c r="H3" s="259"/>
      <c r="I3" s="254"/>
      <c r="J3" s="254"/>
      <c r="K3" s="254"/>
      <c r="L3" s="260"/>
    </row>
    <row r="4" spans="1:12" s="2" customFormat="1" ht="12.75" customHeight="1">
      <c r="A4" s="35"/>
      <c r="B4" s="268"/>
      <c r="C4" s="31"/>
      <c r="D4" s="269"/>
      <c r="E4" s="269"/>
      <c r="F4" s="35"/>
      <c r="G4" s="35"/>
      <c r="H4" s="35"/>
      <c r="I4" s="35"/>
      <c r="J4" s="35"/>
      <c r="K4" s="35"/>
    </row>
    <row r="5" spans="1:12" s="2" customFormat="1" ht="12.75" customHeight="1">
      <c r="A5" s="35"/>
      <c r="B5" s="268"/>
      <c r="C5" s="31"/>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row>
    <row r="6" spans="1:12" s="2" customFormat="1">
      <c r="A6" s="35"/>
      <c r="B6" s="35"/>
      <c r="C6" s="3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2" s="2" customFormat="1">
      <c r="A7" s="35"/>
      <c r="B7" s="35"/>
      <c r="C7" s="31"/>
      <c r="D7" s="31"/>
      <c r="E7" s="31"/>
      <c r="F7" s="31"/>
      <c r="G7" s="31"/>
      <c r="H7" s="31"/>
      <c r="I7" s="31"/>
      <c r="J7" s="31"/>
      <c r="K7" s="31"/>
      <c r="L7" s="31"/>
    </row>
    <row r="8" spans="1:12">
      <c r="B8" s="14" t="s">
        <v>392</v>
      </c>
      <c r="C8" s="151" t="s">
        <v>128</v>
      </c>
      <c r="D8" s="749">
        <v>39.904423487056519</v>
      </c>
      <c r="E8" s="750">
        <v>83.883246649462279</v>
      </c>
      <c r="F8" s="750">
        <v>0</v>
      </c>
      <c r="G8" s="750">
        <v>38.471870759059328</v>
      </c>
      <c r="H8" s="750">
        <v>40.248331448101581</v>
      </c>
      <c r="I8" s="750"/>
      <c r="J8" s="750"/>
      <c r="K8" s="751"/>
    </row>
    <row r="9" spans="1:12">
      <c r="B9" s="16" t="s">
        <v>24</v>
      </c>
      <c r="D9" s="748"/>
      <c r="E9" s="748"/>
      <c r="F9" s="748"/>
      <c r="G9" s="748"/>
      <c r="H9" s="748"/>
      <c r="I9" s="748"/>
      <c r="J9" s="748"/>
      <c r="K9" s="748"/>
    </row>
    <row r="10" spans="1:12">
      <c r="B10" t="s">
        <v>23</v>
      </c>
      <c r="C10" s="151" t="s">
        <v>128</v>
      </c>
      <c r="D10" s="676">
        <v>31.307510605047632</v>
      </c>
      <c r="E10" s="677">
        <v>65.811661618686941</v>
      </c>
      <c r="F10" s="677">
        <v>0</v>
      </c>
      <c r="G10" s="677">
        <v>31.045581994729201</v>
      </c>
      <c r="H10" s="677">
        <v>32.479129542429028</v>
      </c>
      <c r="I10" s="677"/>
      <c r="J10" s="677"/>
      <c r="K10" s="678"/>
    </row>
    <row r="11" spans="1:12">
      <c r="B11" t="s">
        <v>25</v>
      </c>
      <c r="C11" s="151" t="s">
        <v>128</v>
      </c>
      <c r="D11" s="752">
        <v>1.0100421027627107</v>
      </c>
      <c r="E11" s="753">
        <v>2.1232135043842439</v>
      </c>
      <c r="F11" s="753">
        <v>0</v>
      </c>
      <c r="G11" s="753">
        <v>0.17104707475120423</v>
      </c>
      <c r="H11" s="753">
        <v>0.15880392949367192</v>
      </c>
      <c r="I11" s="753"/>
      <c r="J11" s="753"/>
      <c r="K11" s="754"/>
    </row>
    <row r="12" spans="1:12">
      <c r="D12" s="748"/>
      <c r="E12" s="748"/>
      <c r="F12" s="748"/>
      <c r="G12" s="748"/>
      <c r="H12" s="748"/>
      <c r="I12" s="748"/>
      <c r="J12" s="748"/>
      <c r="K12" s="748"/>
    </row>
    <row r="13" spans="1:12">
      <c r="D13" s="748"/>
      <c r="E13" s="748"/>
      <c r="F13" s="748"/>
      <c r="G13" s="748"/>
      <c r="H13" s="748"/>
      <c r="I13" s="748"/>
      <c r="J13" s="748"/>
      <c r="K13" s="748"/>
    </row>
    <row r="14" spans="1:12">
      <c r="B14" t="s">
        <v>23</v>
      </c>
      <c r="C14" s="209" t="str">
        <f>'RFPR cover'!$C$14</f>
        <v>£m 12/13</v>
      </c>
      <c r="D14" s="17">
        <f>D10/Data!C$34</f>
        <v>29.526564304810989</v>
      </c>
      <c r="E14" s="17">
        <f>E10/Data!D$34</f>
        <v>60.765865786711394</v>
      </c>
      <c r="F14" s="17">
        <f>F10/Data!E$34</f>
        <v>0</v>
      </c>
      <c r="G14" s="17">
        <f>G10/Data!F$34</f>
        <v>26.812083578862467</v>
      </c>
      <c r="H14" s="17">
        <f>H10/Data!G$34</f>
        <v>27.34233531559039</v>
      </c>
      <c r="I14" s="17">
        <f>I10/Data!H$34</f>
        <v>0</v>
      </c>
      <c r="J14" s="17">
        <f>J10/Data!I$34</f>
        <v>0</v>
      </c>
      <c r="K14" s="17">
        <f>K10/Data!J$34</f>
        <v>0</v>
      </c>
    </row>
    <row r="15" spans="1:12">
      <c r="D15" s="748"/>
      <c r="E15" s="748"/>
      <c r="F15" s="748"/>
      <c r="G15" s="748"/>
      <c r="H15" s="748"/>
      <c r="I15" s="748"/>
      <c r="J15" s="748"/>
      <c r="K15" s="748"/>
    </row>
    <row r="16" spans="1:12">
      <c r="D16" s="748"/>
      <c r="E16" s="748"/>
      <c r="F16" s="748"/>
      <c r="G16" s="748"/>
      <c r="H16" s="748"/>
      <c r="I16" s="748"/>
      <c r="J16" s="748"/>
      <c r="K16" s="748"/>
    </row>
    <row r="17" spans="2:11" s="2" customFormat="1">
      <c r="B17" s="14" t="s">
        <v>313</v>
      </c>
      <c r="C17" s="209" t="str">
        <f>'RFPR cover'!$C$14</f>
        <v>£m 12/13</v>
      </c>
      <c r="D17" s="947">
        <v>31.846436229437938</v>
      </c>
      <c r="E17" s="947">
        <v>31.846436229437938</v>
      </c>
      <c r="F17" s="947">
        <v>31.846436229437938</v>
      </c>
      <c r="G17" s="947">
        <v>31.851206180320521</v>
      </c>
      <c r="H17" s="947">
        <v>31.851206180320521</v>
      </c>
      <c r="I17" s="947">
        <v>31.851206180320521</v>
      </c>
      <c r="J17" s="947">
        <v>31.851206180320521</v>
      </c>
      <c r="K17" s="947">
        <v>31.851206180320521</v>
      </c>
    </row>
    <row r="18" spans="2:11" s="2" customFormat="1">
      <c r="B18" s="199" t="s">
        <v>314</v>
      </c>
      <c r="C18" s="209" t="str">
        <f>'RFPR cover'!$C$14</f>
        <v>£m 12/13</v>
      </c>
      <c r="D18" s="947">
        <v>4.3948307927361379</v>
      </c>
      <c r="E18" s="947">
        <v>4.3948307927361379</v>
      </c>
      <c r="F18" s="947">
        <v>4.3948307927361379</v>
      </c>
      <c r="G18" s="947">
        <v>4.399600743618671</v>
      </c>
      <c r="H18" s="947">
        <v>4.399600743618671</v>
      </c>
      <c r="I18" s="947">
        <v>4.399600743618671</v>
      </c>
      <c r="J18" s="947">
        <v>4.399600743618671</v>
      </c>
      <c r="K18" s="947">
        <v>4.399600743618671</v>
      </c>
    </row>
    <row r="19" spans="2:11" s="2" customFormat="1">
      <c r="B19" s="14" t="s">
        <v>315</v>
      </c>
      <c r="C19" s="209" t="str">
        <f>'RFPR cover'!$C$14</f>
        <v>£m 12/13</v>
      </c>
      <c r="D19" s="17">
        <f>D17-D18</f>
        <v>27.451605436701801</v>
      </c>
      <c r="E19" s="17">
        <f t="shared" ref="E19:K19" si="1">E17-E18</f>
        <v>27.451605436701801</v>
      </c>
      <c r="F19" s="17">
        <f t="shared" si="1"/>
        <v>27.451605436701801</v>
      </c>
      <c r="G19" s="17">
        <f t="shared" si="1"/>
        <v>27.45160543670185</v>
      </c>
      <c r="H19" s="17">
        <f t="shared" si="1"/>
        <v>27.45160543670185</v>
      </c>
      <c r="I19" s="17">
        <f t="shared" si="1"/>
        <v>27.45160543670185</v>
      </c>
      <c r="J19" s="17">
        <f t="shared" si="1"/>
        <v>27.45160543670185</v>
      </c>
      <c r="K19" s="17">
        <f t="shared" si="1"/>
        <v>27.45160543670185</v>
      </c>
    </row>
    <row r="20" spans="2:11" s="2" customFormat="1">
      <c r="B20" s="14"/>
      <c r="C20" s="14"/>
      <c r="D20" s="14"/>
      <c r="E20" s="14"/>
      <c r="F20" s="14"/>
      <c r="G20" s="14"/>
      <c r="H20" s="14"/>
      <c r="I20" s="14"/>
      <c r="J20" s="14"/>
      <c r="K20" s="14"/>
    </row>
    <row r="21" spans="2:11" s="2" customFormat="1">
      <c r="B21" s="14"/>
      <c r="C21" s="14"/>
      <c r="D21" s="1016" t="s">
        <v>118</v>
      </c>
      <c r="E21" s="14"/>
      <c r="F21" s="14"/>
      <c r="G21" s="14"/>
      <c r="H21" s="14"/>
      <c r="I21" s="14"/>
      <c r="J21" s="14"/>
      <c r="K21" s="14"/>
    </row>
    <row r="22" spans="2:11" s="2" customFormat="1" ht="12.75" customHeight="1">
      <c r="B22" s="14"/>
      <c r="C22" s="14"/>
      <c r="D22" s="1017"/>
      <c r="E22" s="14"/>
      <c r="F22" s="14"/>
      <c r="G22" s="14"/>
      <c r="H22" s="14"/>
      <c r="I22" s="14"/>
      <c r="J22" s="14"/>
      <c r="K22" s="14"/>
    </row>
    <row r="23" spans="2:11">
      <c r="C23" s="14"/>
      <c r="D23" s="1018"/>
      <c r="E23" s="14"/>
    </row>
    <row r="24" spans="2:11">
      <c r="B24" s="14" t="s">
        <v>117</v>
      </c>
      <c r="C24" s="14"/>
      <c r="D24" s="945">
        <v>42460</v>
      </c>
    </row>
    <row r="25" spans="2:11">
      <c r="B25" s="14"/>
      <c r="C25" s="14"/>
      <c r="D25" s="40"/>
      <c r="E25" s="41"/>
      <c r="F25" s="41"/>
    </row>
    <row r="26" spans="2:11">
      <c r="B26" s="199" t="s">
        <v>312</v>
      </c>
      <c r="C26" s="14"/>
      <c r="D26" s="946" t="s">
        <v>77</v>
      </c>
      <c r="E26" s="41"/>
      <c r="F26" s="41"/>
    </row>
    <row r="27" spans="2:11">
      <c r="B27" s="199"/>
      <c r="C27" s="14"/>
      <c r="D27" s="40"/>
      <c r="E27" s="41"/>
      <c r="F27" s="41"/>
    </row>
    <row r="28" spans="2:11">
      <c r="B28" s="14"/>
      <c r="D28" s="361" t="s">
        <v>282</v>
      </c>
      <c r="E28" s="41"/>
      <c r="F28" s="41"/>
    </row>
    <row r="29" spans="2:11">
      <c r="B29" t="s">
        <v>26</v>
      </c>
      <c r="D29" s="947">
        <v>203.15120000000002</v>
      </c>
    </row>
    <row r="30" spans="2:11">
      <c r="B30" t="s">
        <v>27</v>
      </c>
      <c r="D30" s="947">
        <v>3287.3487999999998</v>
      </c>
    </row>
    <row r="31" spans="2:11">
      <c r="D31" s="748"/>
    </row>
    <row r="32" spans="2:11">
      <c r="B32" t="s">
        <v>28</v>
      </c>
      <c r="D32" s="947">
        <v>200.29999999999998</v>
      </c>
    </row>
    <row r="33" spans="2:4">
      <c r="B33" t="s">
        <v>29</v>
      </c>
      <c r="D33" s="947">
        <v>2687.3</v>
      </c>
    </row>
    <row r="34" spans="2:4">
      <c r="D34" s="748"/>
    </row>
    <row r="35" spans="2:4">
      <c r="B35" s="43" t="s">
        <v>31</v>
      </c>
      <c r="D35" s="17">
        <f>D29-D32</f>
        <v>2.8512000000000342</v>
      </c>
    </row>
    <row r="36" spans="2:4">
      <c r="B36" s="43" t="s">
        <v>30</v>
      </c>
      <c r="D36" s="17">
        <f>D30-D33</f>
        <v>600.04879999999957</v>
      </c>
    </row>
    <row r="37" spans="2:4">
      <c r="D37" s="748"/>
    </row>
    <row r="38" spans="2:4">
      <c r="B38" t="s">
        <v>32</v>
      </c>
      <c r="D38" s="947">
        <v>301.98090213210304</v>
      </c>
    </row>
    <row r="39" spans="2:4">
      <c r="B39" t="s">
        <v>33</v>
      </c>
      <c r="D39" s="947">
        <v>1.3405857436522466</v>
      </c>
    </row>
  </sheetData>
  <mergeCells count="1">
    <mergeCell ref="D21:D23"/>
  </mergeCells>
  <conditionalFormatting sqref="D6:J6">
    <cfRule type="expression" dxfId="18" priority="22">
      <formula>AND(D$4="Actuals",E$4="Forecast")</formula>
    </cfRule>
  </conditionalFormatting>
  <conditionalFormatting sqref="I11:K11">
    <cfRule type="expression" dxfId="17" priority="16">
      <formula>I$5="Forecast"</formula>
    </cfRule>
    <cfRule type="expression" dxfId="16" priority="17">
      <formula>I$5="Actuals"</formula>
    </cfRule>
  </conditionalFormatting>
  <conditionalFormatting sqref="I8:K8">
    <cfRule type="expression" dxfId="15" priority="20">
      <formula>I$5="Forecast"</formula>
    </cfRule>
    <cfRule type="expression" dxfId="14" priority="21">
      <formula>I$5="Actuals"</formula>
    </cfRule>
  </conditionalFormatting>
  <conditionalFormatting sqref="I10:K10">
    <cfRule type="expression" dxfId="13" priority="18">
      <formula>I$5="Forecast"</formula>
    </cfRule>
    <cfRule type="expression" dxfId="12" priority="19">
      <formula>I$5="Actuals"</formula>
    </cfRule>
  </conditionalFormatting>
  <conditionalFormatting sqref="D5:K6">
    <cfRule type="expression" dxfId="11" priority="15">
      <formula>AND(D$5="Actuals",E$5="Forecast")</formula>
    </cfRule>
  </conditionalFormatting>
  <conditionalFormatting sqref="D21">
    <cfRule type="expression" dxfId="10" priority="12">
      <formula>AND(E$4="Actuals",F$4="Forecast")</formula>
    </cfRule>
  </conditionalFormatting>
  <conditionalFormatting sqref="K6">
    <cfRule type="expression" dxfId="9" priority="118">
      <formula>AND(K$4="Actuals",#REF!="Forecast")</formula>
    </cfRule>
  </conditionalFormatting>
  <conditionalFormatting sqref="K5">
    <cfRule type="expression" dxfId="8" priority="120">
      <formula>AND(K$5="Actuals",#REF!="Forecast")</formula>
    </cfRule>
  </conditionalFormatting>
  <conditionalFormatting sqref="D11:H11">
    <cfRule type="expression" dxfId="7" priority="1">
      <formula>D$5="Forecast"</formula>
    </cfRule>
    <cfRule type="expression" dxfId="6" priority="2">
      <formula>D$5="Actuals"</formula>
    </cfRule>
  </conditionalFormatting>
  <conditionalFormatting sqref="D8:H8">
    <cfRule type="expression" dxfId="5" priority="5">
      <formula>D$5="Forecast"</formula>
    </cfRule>
    <cfRule type="expression" dxfId="4" priority="6">
      <formula>D$5="Actuals"</formula>
    </cfRule>
  </conditionalFormatting>
  <conditionalFormatting sqref="D10:H10">
    <cfRule type="expression" dxfId="3" priority="3">
      <formula>D$5="Forecast"</formula>
    </cfRule>
    <cfRule type="expression" dxfId="2" priority="4">
      <formula>D$5="Actuals"</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1" customFormat="1" ht="21">
      <c r="A1" s="905" t="s">
        <v>258</v>
      </c>
      <c r="B1" s="915"/>
      <c r="C1" s="255"/>
      <c r="D1" s="255"/>
      <c r="E1" s="255"/>
      <c r="F1" s="255"/>
      <c r="G1" s="255"/>
      <c r="H1" s="255"/>
      <c r="I1" s="256"/>
      <c r="J1" s="256"/>
      <c r="K1" s="257"/>
      <c r="L1" s="362"/>
      <c r="M1" s="33"/>
      <c r="N1" s="33"/>
      <c r="O1" s="32" t="s">
        <v>84</v>
      </c>
      <c r="P1" s="33"/>
      <c r="Q1" s="33"/>
      <c r="R1" s="33"/>
      <c r="S1" s="33"/>
    </row>
    <row r="2" spans="1:19" s="31" customFormat="1" ht="21">
      <c r="A2" s="908" t="str">
        <f>'RFPR cover'!C5</f>
        <v>WPD-EMID</v>
      </c>
      <c r="B2" s="900"/>
      <c r="C2" s="29"/>
      <c r="D2" s="29"/>
      <c r="E2" s="29"/>
      <c r="F2" s="29"/>
      <c r="G2" s="29"/>
      <c r="H2" s="29"/>
      <c r="I2" s="27"/>
      <c r="J2" s="27"/>
      <c r="K2" s="27"/>
      <c r="L2" s="122"/>
      <c r="M2" s="33"/>
      <c r="N2" s="33"/>
      <c r="O2" s="32" t="s">
        <v>84</v>
      </c>
      <c r="P2" s="33"/>
      <c r="Q2" s="33"/>
      <c r="R2" s="33"/>
      <c r="S2" s="33"/>
    </row>
    <row r="3" spans="1:19" s="31" customFormat="1" ht="21">
      <c r="A3" s="911">
        <f>'RFPR cover'!C7</f>
        <v>2020</v>
      </c>
      <c r="B3" s="918"/>
      <c r="C3" s="259"/>
      <c r="D3" s="259"/>
      <c r="E3" s="259"/>
      <c r="F3" s="259"/>
      <c r="G3" s="259"/>
      <c r="H3" s="259"/>
      <c r="I3" s="254"/>
      <c r="J3" s="254"/>
      <c r="K3" s="254"/>
      <c r="L3" s="260"/>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c r="M5" s="33"/>
      <c r="N5" s="33"/>
      <c r="O5" s="32" t="s">
        <v>84</v>
      </c>
      <c r="P5" s="33"/>
      <c r="Q5" s="33"/>
      <c r="R5" s="33"/>
      <c r="S5" s="33"/>
    </row>
    <row r="6" spans="1:19" s="2" customFormat="1">
      <c r="C6" s="14"/>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9">
      <c r="D7" s="758"/>
      <c r="E7" s="758"/>
      <c r="F7" s="758"/>
      <c r="G7" s="758"/>
      <c r="H7" s="758"/>
      <c r="I7" s="758"/>
      <c r="J7" s="758"/>
      <c r="K7" s="758"/>
    </row>
    <row r="8" spans="1:19">
      <c r="B8" s="51" t="s">
        <v>466</v>
      </c>
      <c r="C8" s="209" t="str">
        <f>'RFPR cover'!$C$14</f>
        <v>£m 12/13</v>
      </c>
      <c r="D8" s="755">
        <f>(D16+D21)/Data!C34</f>
        <v>2.8670677978514695E-4</v>
      </c>
      <c r="E8" s="755">
        <f>(E16+E21)/Data!D34</f>
        <v>1.1079957130781367E-4</v>
      </c>
      <c r="F8" s="755">
        <f>(F16+F21)/Data!E34</f>
        <v>4.3255216290540327E-5</v>
      </c>
      <c r="G8" s="755">
        <f>(G16+G21)/Data!F34</f>
        <v>0</v>
      </c>
      <c r="H8" s="755">
        <f>(H16+H21)/Data!G34</f>
        <v>9.4817223895720514E-3</v>
      </c>
      <c r="I8" s="755">
        <f>(I16+I21)/Data!H34</f>
        <v>1.9437638680630915E-3</v>
      </c>
      <c r="J8" s="755">
        <f>(J16+J21)/Data!I34</f>
        <v>1.9033183530605543E-3</v>
      </c>
      <c r="K8" s="755">
        <f>(K16+K21)/Data!J34</f>
        <v>1.8555382432956908E-3</v>
      </c>
    </row>
    <row r="9" spans="1:19">
      <c r="D9" s="758"/>
      <c r="E9" s="758"/>
      <c r="F9" s="758"/>
      <c r="G9" s="758"/>
      <c r="H9" s="758"/>
      <c r="I9" s="758"/>
      <c r="J9" s="758"/>
      <c r="K9" s="758"/>
    </row>
    <row r="10" spans="1:19">
      <c r="B10" s="14" t="s">
        <v>450</v>
      </c>
      <c r="D10" s="758"/>
      <c r="E10" s="758"/>
      <c r="F10" s="758"/>
      <c r="G10" s="758"/>
      <c r="H10" s="758"/>
      <c r="I10" s="758"/>
      <c r="J10" s="758"/>
      <c r="K10" s="758"/>
    </row>
    <row r="11" spans="1:19">
      <c r="B11" s="44" t="s">
        <v>36</v>
      </c>
      <c r="C11" s="151" t="s">
        <v>128</v>
      </c>
      <c r="D11" s="637">
        <v>0</v>
      </c>
      <c r="E11" s="638">
        <v>0</v>
      </c>
      <c r="F11" s="638">
        <v>0</v>
      </c>
      <c r="G11" s="638">
        <v>0</v>
      </c>
      <c r="H11" s="638">
        <v>0</v>
      </c>
      <c r="I11" s="638">
        <v>0</v>
      </c>
      <c r="J11" s="638">
        <v>0</v>
      </c>
      <c r="K11" s="639">
        <v>0</v>
      </c>
    </row>
    <row r="12" spans="1:19">
      <c r="B12" s="44" t="s">
        <v>36</v>
      </c>
      <c r="C12" s="151" t="s">
        <v>128</v>
      </c>
      <c r="D12" s="637">
        <v>0</v>
      </c>
      <c r="E12" s="638">
        <v>0</v>
      </c>
      <c r="F12" s="638">
        <v>0</v>
      </c>
      <c r="G12" s="638">
        <v>0</v>
      </c>
      <c r="H12" s="638">
        <v>0</v>
      </c>
      <c r="I12" s="638">
        <v>0</v>
      </c>
      <c r="J12" s="638">
        <v>0</v>
      </c>
      <c r="K12" s="639">
        <v>0</v>
      </c>
    </row>
    <row r="13" spans="1:19">
      <c r="B13" s="44" t="s">
        <v>20</v>
      </c>
      <c r="C13" s="151" t="s">
        <v>128</v>
      </c>
      <c r="D13" s="637">
        <v>0</v>
      </c>
      <c r="E13" s="638">
        <v>0</v>
      </c>
      <c r="F13" s="638">
        <v>0</v>
      </c>
      <c r="G13" s="638">
        <v>0</v>
      </c>
      <c r="H13" s="638">
        <v>0</v>
      </c>
      <c r="I13" s="638">
        <v>0</v>
      </c>
      <c r="J13" s="638">
        <v>0</v>
      </c>
      <c r="K13" s="639">
        <v>0</v>
      </c>
    </row>
    <row r="14" spans="1:19">
      <c r="B14" s="14" t="s">
        <v>463</v>
      </c>
      <c r="C14" s="151" t="s">
        <v>128</v>
      </c>
      <c r="D14" s="755">
        <f>SUM(D11:D13)</f>
        <v>0</v>
      </c>
      <c r="E14" s="756">
        <f t="shared" ref="E14:K14" si="1">SUM(E11:E13)</f>
        <v>0</v>
      </c>
      <c r="F14" s="756">
        <f t="shared" si="1"/>
        <v>0</v>
      </c>
      <c r="G14" s="756">
        <f t="shared" si="1"/>
        <v>0</v>
      </c>
      <c r="H14" s="756">
        <f t="shared" si="1"/>
        <v>0</v>
      </c>
      <c r="I14" s="756">
        <f t="shared" si="1"/>
        <v>0</v>
      </c>
      <c r="J14" s="756">
        <f t="shared" si="1"/>
        <v>0</v>
      </c>
      <c r="K14" s="757">
        <f t="shared" si="1"/>
        <v>0</v>
      </c>
    </row>
    <row r="15" spans="1:19">
      <c r="B15" s="35" t="s">
        <v>457</v>
      </c>
      <c r="C15" s="151" t="s">
        <v>128</v>
      </c>
      <c r="D15" s="637"/>
      <c r="E15" s="638"/>
      <c r="F15" s="638"/>
      <c r="G15" s="638"/>
      <c r="H15" s="638"/>
      <c r="I15" s="638"/>
      <c r="J15" s="638"/>
      <c r="K15" s="639"/>
    </row>
    <row r="16" spans="1:19">
      <c r="B16" s="51" t="s">
        <v>464</v>
      </c>
      <c r="C16" s="151" t="s">
        <v>128</v>
      </c>
      <c r="D16" s="755">
        <f>D14-D15</f>
        <v>0</v>
      </c>
      <c r="E16" s="755">
        <f t="shared" ref="E16:K16" si="2">E14-E15</f>
        <v>0</v>
      </c>
      <c r="F16" s="755">
        <f t="shared" si="2"/>
        <v>0</v>
      </c>
      <c r="G16" s="755">
        <f t="shared" si="2"/>
        <v>0</v>
      </c>
      <c r="H16" s="755">
        <f t="shared" si="2"/>
        <v>0</v>
      </c>
      <c r="I16" s="755">
        <f t="shared" si="2"/>
        <v>0</v>
      </c>
      <c r="J16" s="755">
        <f t="shared" si="2"/>
        <v>0</v>
      </c>
      <c r="K16" s="755">
        <f t="shared" si="2"/>
        <v>0</v>
      </c>
    </row>
    <row r="18" spans="2:11">
      <c r="B18" s="14" t="s">
        <v>461</v>
      </c>
      <c r="D18" s="758"/>
      <c r="E18" s="758"/>
      <c r="F18" s="758"/>
      <c r="G18" s="758"/>
      <c r="H18" s="758"/>
      <c r="I18" s="758"/>
      <c r="J18" s="758"/>
      <c r="K18" s="758"/>
    </row>
    <row r="19" spans="2:11">
      <c r="B19" s="843" t="s">
        <v>462</v>
      </c>
      <c r="C19" s="151" t="s">
        <v>128</v>
      </c>
      <c r="D19" s="637">
        <v>3.8000000000000013E-4</v>
      </c>
      <c r="E19" s="638">
        <v>1.5000000000000083E-4</v>
      </c>
      <c r="F19" s="638">
        <v>5.999999999999929E-5</v>
      </c>
      <c r="G19" s="638">
        <v>0</v>
      </c>
      <c r="H19" s="638">
        <v>1.3905000000000001E-2</v>
      </c>
      <c r="I19" s="638">
        <f>AVERAGE($D$19:$H$19)</f>
        <v>2.8990000000000001E-3</v>
      </c>
      <c r="J19" s="638">
        <f t="shared" ref="J19:K19" si="3">AVERAGE($D$19:$H$19)</f>
        <v>2.8990000000000001E-3</v>
      </c>
      <c r="K19" s="639">
        <f t="shared" si="3"/>
        <v>2.8990000000000001E-3</v>
      </c>
    </row>
    <row r="20" spans="2:11">
      <c r="B20" s="35" t="s">
        <v>457</v>
      </c>
      <c r="C20" s="151" t="s">
        <v>128</v>
      </c>
      <c r="D20" s="637">
        <f>+D19*Data!G20</f>
        <v>7.6000000000000031E-5</v>
      </c>
      <c r="E20" s="638">
        <f>+E19*Data!$G$21</f>
        <v>3.0000000000000167E-5</v>
      </c>
      <c r="F20" s="638">
        <f>+F19*Data!$G$22</f>
        <v>1.1399999999999865E-5</v>
      </c>
      <c r="G20" s="638">
        <f>+G19*Data!$G$23</f>
        <v>0</v>
      </c>
      <c r="H20" s="638">
        <f>+H19*Data!$G$24</f>
        <v>2.6419500000000001E-3</v>
      </c>
      <c r="I20" s="638">
        <f>+I19*Data!$G$25</f>
        <v>5.5080999999999999E-4</v>
      </c>
      <c r="J20" s="638">
        <f>+J19*Data!$G$26</f>
        <v>5.5080999999999999E-4</v>
      </c>
      <c r="K20" s="639">
        <f>+K19*Data!$G$27</f>
        <v>5.5080999999999999E-4</v>
      </c>
    </row>
    <row r="21" spans="2:11">
      <c r="B21" s="51" t="s">
        <v>465</v>
      </c>
      <c r="C21" s="151" t="s">
        <v>128</v>
      </c>
      <c r="D21" s="755">
        <f>D19-D20</f>
        <v>3.0400000000000013E-4</v>
      </c>
      <c r="E21" s="755">
        <f t="shared" ref="E21:K21" si="4">E19-E20</f>
        <v>1.2000000000000067E-4</v>
      </c>
      <c r="F21" s="755">
        <f t="shared" si="4"/>
        <v>4.8599999999999426E-5</v>
      </c>
      <c r="G21" s="755">
        <f t="shared" si="4"/>
        <v>0</v>
      </c>
      <c r="H21" s="755">
        <f t="shared" si="4"/>
        <v>1.126305E-2</v>
      </c>
      <c r="I21" s="755">
        <f t="shared" si="4"/>
        <v>2.34819E-3</v>
      </c>
      <c r="J21" s="755">
        <f t="shared" si="4"/>
        <v>2.34819E-3</v>
      </c>
      <c r="K21" s="755">
        <f t="shared" si="4"/>
        <v>2.34819E-3</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70" zoomScaleNormal="70" workbookViewId="0">
      <pane ySplit="4" topLeftCell="A5" activePane="bottomLeft" state="frozen"/>
      <selection activeCell="B75" sqref="A1:XFD1048576"/>
      <selection pane="bottomLeft" activeCell="C8" sqref="C8"/>
    </sheetView>
  </sheetViews>
  <sheetFormatPr defaultRowHeight="12.6"/>
  <cols>
    <col min="1" max="1" width="8.36328125" customWidth="1"/>
    <col min="2" max="2" width="35.08984375" customWidth="1"/>
    <col min="8" max="8" width="10.08984375" bestFit="1" customWidth="1"/>
    <col min="14" max="14" width="9" customWidth="1"/>
  </cols>
  <sheetData>
    <row r="1" spans="1:14" ht="21">
      <c r="A1" s="905" t="s">
        <v>374</v>
      </c>
      <c r="B1" s="906"/>
      <c r="C1" s="906"/>
      <c r="D1" s="906"/>
      <c r="E1" s="906"/>
      <c r="F1" s="906"/>
      <c r="G1" s="906"/>
      <c r="H1" s="906"/>
      <c r="I1" s="906"/>
      <c r="J1" s="906"/>
      <c r="K1" s="906"/>
      <c r="L1" s="906"/>
      <c r="M1" s="906"/>
      <c r="N1" s="907"/>
    </row>
    <row r="2" spans="1:14" ht="21">
      <c r="A2" s="908" t="str">
        <f>'RFPR cover'!C5</f>
        <v>WPD-EMID</v>
      </c>
      <c r="B2" s="909"/>
      <c r="C2" s="909"/>
      <c r="D2" s="909"/>
      <c r="E2" s="909"/>
      <c r="F2" s="909"/>
      <c r="G2" s="909"/>
      <c r="H2" s="909"/>
      <c r="I2" s="909"/>
      <c r="J2" s="909"/>
      <c r="K2" s="909"/>
      <c r="L2" s="909"/>
      <c r="M2" s="909"/>
      <c r="N2" s="910"/>
    </row>
    <row r="3" spans="1:14" ht="21">
      <c r="A3" s="911">
        <f>'RFPR cover'!C7</f>
        <v>2020</v>
      </c>
      <c r="B3" s="912"/>
      <c r="C3" s="912"/>
      <c r="D3" s="912"/>
      <c r="E3" s="912"/>
      <c r="F3" s="912"/>
      <c r="G3" s="912"/>
      <c r="H3" s="912"/>
      <c r="I3" s="912"/>
      <c r="J3" s="912"/>
      <c r="K3" s="912"/>
      <c r="L3" s="912"/>
      <c r="M3" s="912"/>
      <c r="N3" s="913"/>
    </row>
    <row r="6" spans="1:14">
      <c r="A6" s="30"/>
      <c r="B6" s="21">
        <v>2018</v>
      </c>
      <c r="C6" s="20" t="s">
        <v>63</v>
      </c>
      <c r="D6" s="18"/>
      <c r="E6" s="18"/>
      <c r="F6" s="840"/>
      <c r="G6" s="18"/>
    </row>
    <row r="7" spans="1:14">
      <c r="A7" s="30"/>
      <c r="B7" s="21">
        <v>2019</v>
      </c>
      <c r="C7" s="20" t="s">
        <v>64</v>
      </c>
      <c r="D7" s="18"/>
      <c r="E7" s="18"/>
      <c r="F7" s="18"/>
      <c r="G7" s="18"/>
    </row>
    <row r="8" spans="1:14" ht="13.2">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ht="13.2">
      <c r="A11" s="30"/>
      <c r="B11" s="21">
        <v>2023</v>
      </c>
      <c r="C11" s="20" t="s">
        <v>68</v>
      </c>
      <c r="D11" s="19"/>
      <c r="E11" s="19"/>
      <c r="F11" s="19"/>
    </row>
    <row r="12" spans="1:14">
      <c r="A12" s="30"/>
      <c r="B12" s="18"/>
      <c r="C12" s="18"/>
      <c r="D12" s="18"/>
      <c r="E12" s="18"/>
      <c r="F12" s="18"/>
    </row>
    <row r="13" spans="1:14" ht="75" customHeight="1">
      <c r="A13" s="30"/>
      <c r="B13" s="550" t="s">
        <v>39</v>
      </c>
      <c r="C13" s="551" t="s">
        <v>40</v>
      </c>
      <c r="D13" s="551" t="s">
        <v>192</v>
      </c>
      <c r="E13" s="551" t="s">
        <v>41</v>
      </c>
      <c r="F13" s="551" t="s">
        <v>42</v>
      </c>
      <c r="G13" s="552" t="s">
        <v>320</v>
      </c>
    </row>
    <row r="14" spans="1:14">
      <c r="A14" s="30"/>
      <c r="B14" s="161" t="s">
        <v>74</v>
      </c>
      <c r="C14" s="168">
        <v>2010</v>
      </c>
      <c r="D14" s="162" t="str">
        <f>IF(VALUE(C14)&lt;='RFPR cover'!$C$7,"Actual","Forecast")</f>
        <v>Actual</v>
      </c>
      <c r="E14" s="372">
        <v>215.767</v>
      </c>
      <c r="F14" s="497">
        <v>221.75</v>
      </c>
      <c r="G14" s="163">
        <v>0.28000000000000003</v>
      </c>
      <c r="H14" s="841"/>
      <c r="J14" s="842"/>
    </row>
    <row r="15" spans="1:14">
      <c r="A15" s="30"/>
      <c r="B15" s="164" t="s">
        <v>75</v>
      </c>
      <c r="C15" s="169">
        <v>2011</v>
      </c>
      <c r="D15" s="165" t="str">
        <f>IF(VALUE(C15)&lt;='RFPR cover'!$C$7,"Actual","Forecast")</f>
        <v>Actual</v>
      </c>
      <c r="E15" s="373">
        <v>226.47499999999999</v>
      </c>
      <c r="F15" s="498">
        <v>233.45</v>
      </c>
      <c r="G15" s="166">
        <v>0.28000000000000003</v>
      </c>
      <c r="H15" s="841"/>
      <c r="J15" s="842"/>
    </row>
    <row r="16" spans="1:14" ht="14.25" customHeight="1">
      <c r="A16" s="30"/>
      <c r="B16" s="164" t="s">
        <v>76</v>
      </c>
      <c r="C16" s="169">
        <v>2012</v>
      </c>
      <c r="D16" s="165" t="str">
        <f>IF(VALUE(C16)&lt;='RFPR cover'!$C$7,"Actual","Forecast")</f>
        <v>Actual</v>
      </c>
      <c r="E16" s="373">
        <v>237.34200000000001</v>
      </c>
      <c r="F16" s="498">
        <v>241.65</v>
      </c>
      <c r="G16" s="166">
        <v>0.26</v>
      </c>
      <c r="H16" s="841"/>
      <c r="J16" s="842"/>
    </row>
    <row r="17" spans="2:10">
      <c r="B17" s="164" t="s">
        <v>77</v>
      </c>
      <c r="C17" s="169">
        <v>2013</v>
      </c>
      <c r="D17" s="165" t="str">
        <f>IF(VALUE(C17)&lt;='RFPR cover'!$C$7,"Actual","Forecast")</f>
        <v>Actual</v>
      </c>
      <c r="E17" s="373">
        <v>244.67500000000001</v>
      </c>
      <c r="F17" s="498">
        <v>249.1</v>
      </c>
      <c r="G17" s="166">
        <v>0.24</v>
      </c>
      <c r="H17" s="841"/>
      <c r="J17" s="842"/>
    </row>
    <row r="18" spans="2:10">
      <c r="B18" s="164" t="s">
        <v>78</v>
      </c>
      <c r="C18" s="169">
        <v>2014</v>
      </c>
      <c r="D18" s="165" t="str">
        <f>IF(VALUE(C18)&lt;='RFPR cover'!$C$7,"Actual","Forecast")</f>
        <v>Actual</v>
      </c>
      <c r="E18" s="373">
        <v>251.733</v>
      </c>
      <c r="F18" s="498">
        <v>255.25</v>
      </c>
      <c r="G18" s="166">
        <v>0.23</v>
      </c>
      <c r="H18" s="841"/>
      <c r="I18" s="517"/>
      <c r="J18" s="842"/>
    </row>
    <row r="19" spans="2:10">
      <c r="B19" s="164" t="s">
        <v>79</v>
      </c>
      <c r="C19" s="169">
        <v>2015</v>
      </c>
      <c r="D19" s="165" t="str">
        <f>IF(VALUE(C19)&lt;='RFPR cover'!$C$7,"Actual","Forecast")</f>
        <v>Actual</v>
      </c>
      <c r="E19" s="373">
        <v>256.66699999999997</v>
      </c>
      <c r="F19" s="498">
        <v>257.55</v>
      </c>
      <c r="G19" s="166">
        <v>0.21</v>
      </c>
      <c r="H19" s="841"/>
      <c r="I19" s="517"/>
      <c r="J19" s="842"/>
    </row>
    <row r="20" spans="2:10">
      <c r="B20" s="164" t="s">
        <v>80</v>
      </c>
      <c r="C20" s="169">
        <v>2016</v>
      </c>
      <c r="D20" s="165" t="str">
        <f>IF(VALUE(C20)&lt;='RFPR cover'!$C$7,"Actual","Forecast")</f>
        <v>Actual</v>
      </c>
      <c r="E20" s="373">
        <v>259.43299999999999</v>
      </c>
      <c r="F20" s="498">
        <v>261.25</v>
      </c>
      <c r="G20" s="166">
        <v>0.2</v>
      </c>
      <c r="H20" s="841"/>
      <c r="I20" s="517"/>
      <c r="J20" s="842"/>
    </row>
    <row r="21" spans="2:10">
      <c r="B21" s="164" t="s">
        <v>81</v>
      </c>
      <c r="C21" s="169">
        <v>2017</v>
      </c>
      <c r="D21" s="165" t="str">
        <f>IF(VALUE(C21)&lt;='RFPR cover'!$C$7,"Actual","Forecast")</f>
        <v>Actual</v>
      </c>
      <c r="E21" s="373">
        <v>264.99200000000002</v>
      </c>
      <c r="F21" s="498">
        <v>269.95000000000005</v>
      </c>
      <c r="G21" s="166">
        <v>0.2</v>
      </c>
      <c r="H21" s="841"/>
      <c r="I21" s="517"/>
      <c r="J21" s="842"/>
    </row>
    <row r="22" spans="2:10">
      <c r="B22" s="164" t="s">
        <v>63</v>
      </c>
      <c r="C22" s="169">
        <v>2018</v>
      </c>
      <c r="D22" s="165" t="str">
        <f>IF(VALUE(C22)&lt;='RFPR cover'!$C$7,"Actual","Forecast")</f>
        <v>Actual</v>
      </c>
      <c r="E22" s="373">
        <v>274.90800000000002</v>
      </c>
      <c r="F22" s="498">
        <v>279</v>
      </c>
      <c r="G22" s="166">
        <v>0.19</v>
      </c>
      <c r="H22" s="841"/>
      <c r="I22" s="517"/>
      <c r="J22" s="842"/>
    </row>
    <row r="23" spans="2:10">
      <c r="B23" s="500" t="s">
        <v>64</v>
      </c>
      <c r="C23" s="501">
        <v>2019</v>
      </c>
      <c r="D23" s="165" t="str">
        <f>IF(VALUE(C23)&lt;='RFPR cover'!$C$7,"Actual","Forecast")</f>
        <v>Actual</v>
      </c>
      <c r="E23" s="373">
        <v>283.30799999999999</v>
      </c>
      <c r="F23" s="498">
        <v>286.64999999999998</v>
      </c>
      <c r="G23" s="166">
        <v>0.19</v>
      </c>
      <c r="H23" s="841"/>
      <c r="J23" s="842"/>
    </row>
    <row r="24" spans="2:10">
      <c r="B24" s="500" t="s">
        <v>65</v>
      </c>
      <c r="C24" s="501">
        <v>2020</v>
      </c>
      <c r="D24" s="165" t="str">
        <f>IF(VALUE(C24)&lt;='RFPR cover'!$C$7,"Actual","Forecast")</f>
        <v>Actual</v>
      </c>
      <c r="E24" s="373">
        <v>290.642</v>
      </c>
      <c r="F24" s="498">
        <v>292.60000000000002</v>
      </c>
      <c r="G24" s="166">
        <v>0.19</v>
      </c>
      <c r="H24" s="841"/>
      <c r="J24" s="842"/>
    </row>
    <row r="25" spans="2:10">
      <c r="B25" s="500" t="s">
        <v>66</v>
      </c>
      <c r="C25" s="501">
        <v>2021</v>
      </c>
      <c r="D25" s="165" t="str">
        <f>IF(VALUE(C25)&lt;='RFPR cover'!$C$7,"Actual","Forecast")</f>
        <v>Forecast</v>
      </c>
      <c r="E25" s="499">
        <f t="shared" ref="E25:F27" si="0">E24*(1+INDEX($D$43:$J$43,0,MATCH($C25,$D$42:$J$42,0)))</f>
        <v>295.58291399999996</v>
      </c>
      <c r="F25" s="499">
        <f t="shared" si="0"/>
        <v>297.57420000000002</v>
      </c>
      <c r="G25" s="166">
        <v>0.19</v>
      </c>
      <c r="H25" s="841"/>
      <c r="J25" s="842"/>
    </row>
    <row r="26" spans="2:10">
      <c r="B26" s="500" t="s">
        <v>67</v>
      </c>
      <c r="C26" s="501">
        <v>2022</v>
      </c>
      <c r="D26" s="165" t="str">
        <f>IF(VALUE(C26)&lt;='RFPR cover'!$C$7,"Actual","Forecast")</f>
        <v>Forecast</v>
      </c>
      <c r="E26" s="499">
        <f t="shared" si="0"/>
        <v>301.86405092249998</v>
      </c>
      <c r="F26" s="499">
        <f t="shared" si="0"/>
        <v>303.89765175000002</v>
      </c>
      <c r="G26" s="166">
        <v>0.19</v>
      </c>
      <c r="H26" s="841"/>
      <c r="J26" s="842"/>
    </row>
    <row r="27" spans="2:10">
      <c r="B27" s="500" t="s">
        <v>68</v>
      </c>
      <c r="C27" s="501">
        <v>2023</v>
      </c>
      <c r="D27" s="165" t="str">
        <f>IF(VALUE(C27)&lt;='RFPR cover'!$C$7,"Actual","Forecast")</f>
        <v>Forecast</v>
      </c>
      <c r="E27" s="499">
        <f t="shared" si="0"/>
        <v>309.63705023375434</v>
      </c>
      <c r="F27" s="499">
        <f t="shared" si="0"/>
        <v>311.72301628256253</v>
      </c>
      <c r="G27" s="166">
        <v>0.19</v>
      </c>
      <c r="H27" s="841"/>
      <c r="J27" s="842"/>
    </row>
    <row r="28" spans="2:10">
      <c r="B28" s="500" t="s">
        <v>205</v>
      </c>
      <c r="C28" s="501">
        <v>2024</v>
      </c>
      <c r="D28" s="165" t="str">
        <f>IF(VALUE(C28)&lt;='RFPR cover'!$C$7,"Actual","Forecast")</f>
        <v>Forecast</v>
      </c>
      <c r="E28" s="375"/>
      <c r="F28" s="375"/>
      <c r="G28" s="166">
        <v>0.19</v>
      </c>
    </row>
    <row r="29" spans="2:10">
      <c r="B29" s="500" t="s">
        <v>206</v>
      </c>
      <c r="C29" s="501">
        <v>2025</v>
      </c>
      <c r="D29" s="165" t="str">
        <f>IF(VALUE(C29)&lt;='RFPR cover'!$C$7,"Actual","Forecast")</f>
        <v>Forecast</v>
      </c>
      <c r="E29" s="375"/>
      <c r="F29" s="375"/>
      <c r="G29" s="166">
        <v>0.19</v>
      </c>
    </row>
    <row r="30" spans="2:10">
      <c r="B30" s="502" t="s">
        <v>207</v>
      </c>
      <c r="C30" s="503">
        <v>2026</v>
      </c>
      <c r="D30" s="167" t="str">
        <f>IF(VALUE(C30)&lt;='RFPR cover'!$C$7,"Actual","Forecast")</f>
        <v>Forecast</v>
      </c>
      <c r="E30" s="374"/>
      <c r="F30" s="374"/>
      <c r="G30" s="166">
        <v>0.19</v>
      </c>
    </row>
    <row r="31" spans="2:10">
      <c r="B31" s="87"/>
      <c r="C31" s="67"/>
      <c r="D31" s="67"/>
      <c r="E31" s="67"/>
      <c r="F31" s="67"/>
    </row>
    <row r="32" spans="2:10">
      <c r="B32" s="87"/>
      <c r="C32" s="342" t="str">
        <f>IF(C33&lt;='RFPR cover'!$C$7,"Actuals","Forecast")</f>
        <v>Actuals</v>
      </c>
      <c r="D32" s="343" t="str">
        <f>IF(D33&lt;='RFPR cover'!$C$7,"Actuals","Forecast")</f>
        <v>Actuals</v>
      </c>
      <c r="E32" s="343" t="str">
        <f>IF(E33&lt;='RFPR cover'!$C$7,"Actuals","Forecast")</f>
        <v>Actuals</v>
      </c>
      <c r="F32" s="343" t="str">
        <f>IF(F33&lt;='RFPR cover'!$C$7,"Actuals","Forecast")</f>
        <v>Actuals</v>
      </c>
      <c r="G32" s="343" t="str">
        <f>IF(G33&lt;='RFPR cover'!$C$7,"Actuals","Forecast")</f>
        <v>Actuals</v>
      </c>
      <c r="H32" s="343" t="str">
        <f>IF(H33&lt;='RFPR cover'!$C$7,"Actuals","Forecast")</f>
        <v>Forecast</v>
      </c>
      <c r="I32" s="343" t="str">
        <f>IF(I33&lt;='RFPR cover'!$C$7,"Actuals","Forecast")</f>
        <v>Forecast</v>
      </c>
      <c r="J32" s="344" t="str">
        <f>IF(J33&lt;='RFPR cover'!$C$7,"Actuals","Forecast")</f>
        <v>Forecast</v>
      </c>
    </row>
    <row r="33" spans="2:13" ht="15.75" customHeight="1">
      <c r="B33" s="288"/>
      <c r="C33" s="89">
        <f>'RFPR cover'!$C$13</f>
        <v>2016</v>
      </c>
      <c r="D33" s="90">
        <f t="shared" ref="D33:J33" si="1">C33+1</f>
        <v>2017</v>
      </c>
      <c r="E33" s="90">
        <f t="shared" si="1"/>
        <v>2018</v>
      </c>
      <c r="F33" s="90">
        <f t="shared" si="1"/>
        <v>2019</v>
      </c>
      <c r="G33" s="90">
        <f t="shared" si="1"/>
        <v>2020</v>
      </c>
      <c r="H33" s="90">
        <f t="shared" si="1"/>
        <v>2021</v>
      </c>
      <c r="I33" s="90">
        <f t="shared" si="1"/>
        <v>2022</v>
      </c>
      <c r="J33" s="315">
        <f t="shared" si="1"/>
        <v>2023</v>
      </c>
    </row>
    <row r="34" spans="2:13" ht="15.75" customHeight="1">
      <c r="B34" s="495" t="s">
        <v>375</v>
      </c>
      <c r="C34" s="493">
        <f>INDEX(Data!$E$14:$E$30,MATCH(C$33,Data!$C$14:$C$30,0),0)/IF('RFPR cover'!$C$6="ED1",Data!$E$17,Data!$E$14)</f>
        <v>1.0603167467048125</v>
      </c>
      <c r="D34" s="490">
        <f>INDEX(Data!$E$14:$E$30,MATCH(D$33,Data!$C$14:$C$30,0),0)/IF('RFPR cover'!$C$6="ED1",Data!$E$17,Data!$E$14)</f>
        <v>1.0830366813119445</v>
      </c>
      <c r="E34" s="490">
        <f>INDEX(Data!$E$14:$E$30,MATCH(E$33,Data!$C$14:$C$30,0),0)/IF('RFPR cover'!$C$6="ED1",Data!$E$17,Data!$E$14)</f>
        <v>1.1235639113109226</v>
      </c>
      <c r="F34" s="490">
        <f>INDEX(Data!$E$14:$E$30,MATCH(F$33,Data!$C$14:$C$30,0),0)/IF('RFPR cover'!$C$6="ED1",Data!$E$17,Data!$E$14)</f>
        <v>1.1578951670583426</v>
      </c>
      <c r="G34" s="490">
        <f>INDEX(Data!$E$14:$E$30,MATCH(G$33,Data!$C$14:$C$30,0),0)/IF('RFPR cover'!$C$6="ED1",Data!$E$17,Data!$E$14)</f>
        <v>1.1878696229692449</v>
      </c>
      <c r="H34" s="490">
        <f>INDEX(Data!$E$14:$E$30,MATCH(H$33,Data!$C$14:$C$30,0),0)/IF('RFPR cover'!$C$6="ED1",Data!$E$17,Data!$E$14)</f>
        <v>1.2080634065597218</v>
      </c>
      <c r="I34" s="491">
        <f>INDEX(Data!$E$14:$E$30,MATCH(I$33,Data!$C$14:$C$30,0),0)/IF('RFPR cover'!$C$6="ED1",Data!$E$17,Data!$E$14)</f>
        <v>1.2337347539491161</v>
      </c>
      <c r="J34" s="492">
        <f>INDEX(Data!$E$14:$E$30,MATCH(J$33,Data!$C$14:$C$30,0),0)/IF('RFPR cover'!$C$6="ED1",Data!$E$17,Data!$E$14)</f>
        <v>1.2655034238633056</v>
      </c>
    </row>
    <row r="35" spans="2:13" ht="15.75" customHeight="1">
      <c r="B35" s="496" t="s">
        <v>42</v>
      </c>
      <c r="C35" s="494">
        <f>INDEX(Data!$F$14:$F$30,MATCH(C$33,Data!$C$14:$C$30,0),0)/IF('RFPR cover'!$C$6="ED1",Data!$E$17,Data!$E$14)</f>
        <v>1.0677429242873198</v>
      </c>
      <c r="D35" s="494">
        <f>INDEX(Data!$F$14:$F$30,MATCH(D$33,Data!$C$14:$C$30,0),0)/IF('RFPR cover'!$C$6="ED1",Data!$E$17,Data!$E$14)</f>
        <v>1.1033002963114336</v>
      </c>
      <c r="E35" s="494">
        <f>INDEX(Data!$F$14:$F$30,MATCH(E$33,Data!$C$14:$C$30,0),0)/IF('RFPR cover'!$C$6="ED1",Data!$E$17,Data!$E$14)</f>
        <v>1.1402881373250229</v>
      </c>
      <c r="F35" s="494">
        <f>INDEX(Data!$F$14:$F$30,MATCH(F$33,Data!$C$14:$C$30,0),0)/IF('RFPR cover'!$C$6="ED1",Data!$E$17,Data!$E$14)</f>
        <v>1.171554102380709</v>
      </c>
      <c r="G35" s="494">
        <f>INDEX(Data!$F$14:$F$30,MATCH(G$33,Data!$C$14:$C$30,0),0)/IF('RFPR cover'!$C$6="ED1",Data!$E$17,Data!$E$14)</f>
        <v>1.1958720752017984</v>
      </c>
      <c r="H35" s="494">
        <f>INDEX(Data!$F$14:$F$30,MATCH(H$33,Data!$C$14:$C$30,0),0)/IF('RFPR cover'!$C$6="ED1",Data!$E$17,Data!$E$14)</f>
        <v>1.2162019004802289</v>
      </c>
      <c r="I35" s="494">
        <f>INDEX(Data!$F$14:$F$30,MATCH(I$33,Data!$C$14:$C$30,0),0)/IF('RFPR cover'!$C$6="ED1",Data!$E$17,Data!$E$14)</f>
        <v>1.2420461908654337</v>
      </c>
      <c r="J35" s="494">
        <f>INDEX(Data!$F$14:$F$30,MATCH(J$33,Data!$C$14:$C$30,0),0)/IF('RFPR cover'!$C$6="ED1",Data!$E$17,Data!$E$14)</f>
        <v>1.2740288802802187</v>
      </c>
    </row>
    <row r="36" spans="2:13">
      <c r="B36" s="496" t="s">
        <v>505</v>
      </c>
      <c r="C36" s="494">
        <f>INDEX(Data!$E$14:$E$30,MATCH(C$33,Data!$C$14:$C$30,0))/INDEX(Data!$E$14:$E$30,MATCH(C$33-1,Data!$C$14:$C$30,0))</f>
        <v>1.0107766093810269</v>
      </c>
      <c r="D36" s="494">
        <f>INDEX(Data!$E$14:$E$30,MATCH(D$33,Data!$C$14:$C$30,0))/INDEX(Data!$E$14:$E$30,MATCH(D$33-1,Data!$C$14:$C$30,0))</f>
        <v>1.0214274976583551</v>
      </c>
      <c r="E36" s="494">
        <f>INDEX(Data!$E$14:$E$30,MATCH(E$33,Data!$C$14:$C$30,0))/INDEX(Data!$E$14:$E$30,MATCH(E$33-1,Data!$C$14:$C$30,0))</f>
        <v>1.0374199975848328</v>
      </c>
      <c r="F36" s="494">
        <f>INDEX(Data!$E$14:$E$30,MATCH(F$33,Data!$C$14:$C$30,0))/INDEX(Data!$E$14:$E$30,MATCH(F$33-1,Data!$C$14:$C$30,0))</f>
        <v>1.0305556768082411</v>
      </c>
      <c r="G36" s="494">
        <f>INDEX(Data!$E$14:$E$30,MATCH(G$33,Data!$C$14:$C$30,0))/INDEX(Data!$E$14:$E$30,MATCH(G$33-1,Data!$C$14:$C$30,0))</f>
        <v>1.0258870204865376</v>
      </c>
      <c r="H36" s="494">
        <f>INDEX(Data!$E$14:$E$30,MATCH(H$33,Data!$C$14:$C$30,0))/INDEX(Data!$E$14:$E$30,MATCH(H$33-1,Data!$C$14:$C$30,0))</f>
        <v>1.0169999999999999</v>
      </c>
      <c r="I36" s="494">
        <f>INDEX(Data!$E$14:$E$30,MATCH(I$33,Data!$C$14:$C$30,0))/INDEX(Data!$E$14:$E$30,MATCH(I$33-1,Data!$C$14:$C$30,0))</f>
        <v>1.02125</v>
      </c>
      <c r="J36" s="494">
        <f>INDEX(Data!$E$14:$E$30,MATCH(J$33,Data!$C$14:$C$30,0))/INDEX(Data!$E$14:$E$30,MATCH(J$33-1,Data!$C$14:$C$30,0))</f>
        <v>1.0257499999999999</v>
      </c>
    </row>
    <row r="37" spans="2:13" ht="15.75" customHeight="1">
      <c r="B37" s="14" t="s">
        <v>275</v>
      </c>
      <c r="F37" s="517"/>
    </row>
    <row r="38" spans="2:13">
      <c r="C38" s="510" t="s">
        <v>276</v>
      </c>
      <c r="D38" s="116">
        <v>2017</v>
      </c>
      <c r="E38" s="117">
        <f t="shared" ref="E38:J38" si="2">D38+1</f>
        <v>2018</v>
      </c>
      <c r="F38" s="117">
        <f t="shared" si="2"/>
        <v>2019</v>
      </c>
      <c r="G38" s="117">
        <f t="shared" si="2"/>
        <v>2020</v>
      </c>
      <c r="H38" s="117">
        <f t="shared" si="2"/>
        <v>2021</v>
      </c>
      <c r="I38" s="117">
        <f t="shared" si="2"/>
        <v>2022</v>
      </c>
      <c r="J38" s="194">
        <f t="shared" si="2"/>
        <v>2023</v>
      </c>
      <c r="K38" s="986" t="s">
        <v>385</v>
      </c>
      <c r="L38" s="986"/>
      <c r="M38" s="986"/>
    </row>
    <row r="39" spans="2:13">
      <c r="B39" t="s">
        <v>386</v>
      </c>
      <c r="C39" s="199"/>
      <c r="D39" s="759"/>
      <c r="E39" s="759"/>
      <c r="F39" s="759"/>
      <c r="G39" s="760">
        <v>1.6E-2</v>
      </c>
      <c r="H39" s="760">
        <v>0.02</v>
      </c>
      <c r="I39" s="760">
        <v>2.5000000000000001E-2</v>
      </c>
      <c r="J39" s="761">
        <v>2.8000000000000001E-2</v>
      </c>
      <c r="K39" s="987" t="s">
        <v>635</v>
      </c>
      <c r="L39" s="987"/>
      <c r="M39" s="987"/>
    </row>
    <row r="41" spans="2:13">
      <c r="B41" s="14" t="s">
        <v>277</v>
      </c>
    </row>
    <row r="42" spans="2:13">
      <c r="C42" s="509" t="s">
        <v>278</v>
      </c>
      <c r="D42" s="116">
        <v>2017</v>
      </c>
      <c r="E42" s="117">
        <f t="shared" ref="E42:J42" si="3">D42+1</f>
        <v>2018</v>
      </c>
      <c r="F42" s="117">
        <f t="shared" si="3"/>
        <v>2019</v>
      </c>
      <c r="G42" s="117">
        <f t="shared" si="3"/>
        <v>2020</v>
      </c>
      <c r="H42" s="117">
        <f t="shared" si="3"/>
        <v>2021</v>
      </c>
      <c r="I42" s="117">
        <f t="shared" si="3"/>
        <v>2022</v>
      </c>
      <c r="J42" s="194">
        <f t="shared" si="3"/>
        <v>2023</v>
      </c>
    </row>
    <row r="43" spans="2:13">
      <c r="B43" t="s">
        <v>279</v>
      </c>
      <c r="D43" s="569"/>
      <c r="E43" s="570"/>
      <c r="F43" s="570"/>
      <c r="G43" s="570"/>
      <c r="H43" s="762">
        <f>(G39*0.75)+(H39*0.25)</f>
        <v>1.7000000000000001E-2</v>
      </c>
      <c r="I43" s="762">
        <f>(H39*0.75)+(I39*0.25)</f>
        <v>2.1249999999999998E-2</v>
      </c>
      <c r="J43" s="763">
        <f>(I39*0.75)+(J39*0.25)</f>
        <v>2.5750000000000002E-2</v>
      </c>
    </row>
    <row r="45" spans="2:13">
      <c r="B45" s="314" t="str">
        <f>"Selected Capitalisation rates for "&amp;'RFPR cover'!C5</f>
        <v>Selected Capitalisation rates for WPD-EMID</v>
      </c>
      <c r="C45" s="270"/>
      <c r="D45" s="270"/>
      <c r="E45" s="270"/>
      <c r="F45" s="270"/>
      <c r="G45" s="270"/>
      <c r="H45" s="270"/>
      <c r="I45" s="270"/>
      <c r="J45" s="270"/>
      <c r="K45" s="270"/>
      <c r="L45" s="270"/>
      <c r="M45" s="283"/>
    </row>
    <row r="46" spans="2:13">
      <c r="B46" s="200"/>
      <c r="C46" s="42"/>
      <c r="D46" s="42"/>
      <c r="E46" s="42"/>
      <c r="F46" s="42"/>
      <c r="G46" s="42"/>
      <c r="H46" s="42"/>
      <c r="I46" s="42"/>
      <c r="J46" s="42"/>
      <c r="K46" s="42"/>
      <c r="L46" s="42"/>
      <c r="M46" s="201"/>
    </row>
    <row r="47" spans="2:13">
      <c r="B47" s="200"/>
      <c r="C47" s="313" t="s">
        <v>252</v>
      </c>
      <c r="D47" s="42"/>
      <c r="E47" s="42"/>
      <c r="F47" s="42"/>
      <c r="G47" s="42"/>
      <c r="H47" s="42"/>
      <c r="I47" s="42"/>
      <c r="J47" s="42"/>
      <c r="K47" s="42"/>
      <c r="L47" s="42"/>
      <c r="M47" s="201"/>
    </row>
    <row r="48" spans="2:13">
      <c r="B48" s="316" t="str">
        <f>INDEX($G$54:$G$57,MATCH(LEFT('RFPR cover'!$C$6,2),Data!$E$54:$E$57,0),0)</f>
        <v>Totex</v>
      </c>
      <c r="C48" s="312">
        <f>INDEX($F$73:$F$100,MATCH('RFPR cover'!$C$5,Data!$B$73:$B$100,0),0)</f>
        <v>0.8</v>
      </c>
      <c r="D48" s="42"/>
      <c r="E48" s="42"/>
      <c r="F48" s="42"/>
      <c r="G48" s="42"/>
      <c r="H48" s="42"/>
      <c r="I48" s="42"/>
      <c r="J48" s="42"/>
      <c r="K48" s="42"/>
      <c r="L48" s="42"/>
      <c r="M48" s="201"/>
    </row>
    <row r="49" spans="2:20">
      <c r="B49" s="317"/>
      <c r="C49" s="42"/>
      <c r="D49" s="42"/>
      <c r="E49" s="42"/>
      <c r="F49" s="42"/>
      <c r="G49" s="42"/>
      <c r="H49" s="42"/>
      <c r="I49" s="42"/>
      <c r="J49" s="42"/>
      <c r="K49" s="42"/>
      <c r="L49" s="42"/>
      <c r="M49" s="201"/>
    </row>
    <row r="50" spans="2:20">
      <c r="B50" s="317"/>
      <c r="C50" s="89">
        <v>2014</v>
      </c>
      <c r="D50" s="90">
        <f t="shared" ref="D50:J50" si="4">C50+1</f>
        <v>2015</v>
      </c>
      <c r="E50" s="90">
        <f t="shared" si="4"/>
        <v>2016</v>
      </c>
      <c r="F50" s="90">
        <f t="shared" si="4"/>
        <v>2017</v>
      </c>
      <c r="G50" s="90">
        <f t="shared" si="4"/>
        <v>2018</v>
      </c>
      <c r="H50" s="90">
        <f t="shared" si="4"/>
        <v>2019</v>
      </c>
      <c r="I50" s="90">
        <f t="shared" si="4"/>
        <v>2020</v>
      </c>
      <c r="J50" s="90">
        <f t="shared" si="4"/>
        <v>2021</v>
      </c>
      <c r="K50" s="42"/>
      <c r="L50" s="42"/>
      <c r="M50" s="201"/>
    </row>
    <row r="51" spans="2:20">
      <c r="B51" s="316" t="str">
        <f>INDEX($J$54:$J$57,MATCH(LEFT('RFPR cover'!$C$6,2),Data!$E$54:$E$57,0),0)</f>
        <v>n/a</v>
      </c>
      <c r="C51" s="318">
        <f>IFERROR(INDEX(C$106:C$115,MATCH('RFPR cover'!$C$5,Data!$B$106:$B$115,0),0),0)</f>
        <v>0</v>
      </c>
      <c r="D51" s="300">
        <f>IFERROR(INDEX(D$106:D$115,MATCH('RFPR cover'!$C$5,Data!$B$106:$B$115,0),0),0)</f>
        <v>0</v>
      </c>
      <c r="E51" s="300">
        <f>IFERROR(INDEX(E$106:E$115,MATCH('RFPR cover'!$C$5,Data!$B$106:$B$115,0),0),0)</f>
        <v>0</v>
      </c>
      <c r="F51" s="300">
        <f>IFERROR(INDEX(F$106:F$115,MATCH('RFPR cover'!$C$5,Data!$B$106:$B$115,0),0),0)</f>
        <v>0</v>
      </c>
      <c r="G51" s="300">
        <f>IFERROR(INDEX(G$106:G$115,MATCH('RFPR cover'!$C$5,Data!$B$106:$B$115,0),0),0)</f>
        <v>0</v>
      </c>
      <c r="H51" s="300">
        <f>IFERROR(INDEX(H$106:H$115,MATCH('RFPR cover'!$C$5,Data!$B$106:$B$115,0),0),0)</f>
        <v>0</v>
      </c>
      <c r="I51" s="300">
        <f>IFERROR(INDEX(I$106:I$115,MATCH('RFPR cover'!$C$5,Data!$B$106:$B$115,0),0),0)</f>
        <v>0</v>
      </c>
      <c r="J51" s="300">
        <f>IFERROR(INDEX(J$106:J$115,MATCH('RFPR cover'!$C$5,Data!$B$106:$B$115,0),0),0)</f>
        <v>0</v>
      </c>
      <c r="K51" s="42"/>
      <c r="L51" s="42"/>
      <c r="M51" s="201"/>
    </row>
    <row r="52" spans="2:20">
      <c r="B52" s="294"/>
      <c r="C52" s="295"/>
      <c r="D52" s="295"/>
      <c r="E52" s="295"/>
      <c r="F52" s="295"/>
      <c r="G52" s="295"/>
      <c r="H52" s="295"/>
      <c r="I52" s="295"/>
      <c r="J52" s="295"/>
      <c r="K52" s="295"/>
      <c r="L52" s="295"/>
      <c r="M52" s="296"/>
    </row>
    <row r="53" spans="2:20">
      <c r="B53" s="42"/>
      <c r="C53" s="42"/>
      <c r="D53" s="42"/>
      <c r="E53" s="42"/>
      <c r="F53" s="42"/>
      <c r="G53" s="42"/>
      <c r="H53" s="42"/>
      <c r="I53" s="42"/>
      <c r="J53" s="42"/>
      <c r="K53" s="42"/>
    </row>
    <row r="54" spans="2:20">
      <c r="B54" s="304"/>
      <c r="C54" s="304"/>
      <c r="E54" s="301" t="s">
        <v>172</v>
      </c>
      <c r="F54" s="330" t="s">
        <v>159</v>
      </c>
      <c r="G54" s="991" t="s">
        <v>253</v>
      </c>
      <c r="H54" s="992"/>
      <c r="I54" s="993"/>
      <c r="J54" s="1000" t="s">
        <v>255</v>
      </c>
      <c r="K54" s="1001"/>
    </row>
    <row r="55" spans="2:20">
      <c r="B55" s="304"/>
      <c r="C55" s="304"/>
      <c r="E55" s="302" t="s">
        <v>174</v>
      </c>
      <c r="F55" s="331" t="s">
        <v>184</v>
      </c>
      <c r="G55" s="994" t="s">
        <v>253</v>
      </c>
      <c r="H55" s="995"/>
      <c r="I55" s="996"/>
      <c r="J55" s="1002" t="s">
        <v>255</v>
      </c>
      <c r="K55" s="1003"/>
    </row>
    <row r="56" spans="2:20">
      <c r="B56" s="304"/>
      <c r="C56" s="304"/>
      <c r="E56" s="302" t="s">
        <v>173</v>
      </c>
      <c r="F56" s="331" t="s">
        <v>184</v>
      </c>
      <c r="G56" s="994" t="s">
        <v>244</v>
      </c>
      <c r="H56" s="995"/>
      <c r="I56" s="996"/>
      <c r="J56" s="1002" t="s">
        <v>245</v>
      </c>
      <c r="K56" s="1003"/>
    </row>
    <row r="57" spans="2:20">
      <c r="B57" s="304"/>
      <c r="C57" s="304"/>
      <c r="E57" s="303" t="s">
        <v>175</v>
      </c>
      <c r="F57" s="332" t="s">
        <v>184</v>
      </c>
      <c r="G57" s="997" t="s">
        <v>254</v>
      </c>
      <c r="H57" s="998"/>
      <c r="I57" s="999"/>
      <c r="J57" s="1004" t="s">
        <v>256</v>
      </c>
      <c r="K57" s="1005"/>
    </row>
    <row r="58" spans="2:20">
      <c r="B58" s="304"/>
      <c r="C58" s="304"/>
      <c r="E58" s="304"/>
      <c r="F58" s="444"/>
      <c r="G58" s="445"/>
      <c r="H58" s="445"/>
      <c r="I58" s="445"/>
      <c r="J58" s="446"/>
      <c r="K58" s="446"/>
    </row>
    <row r="59" spans="2:20">
      <c r="B59" s="447"/>
      <c r="C59" s="447"/>
      <c r="D59" s="216"/>
      <c r="E59" s="447"/>
      <c r="F59" s="448"/>
      <c r="G59" s="449"/>
      <c r="H59" s="449"/>
      <c r="I59" s="449"/>
      <c r="J59" s="450"/>
      <c r="K59" s="450"/>
      <c r="L59" s="216"/>
      <c r="M59" s="216"/>
      <c r="N59" s="216"/>
      <c r="O59" s="216"/>
      <c r="P59" s="216"/>
      <c r="Q59" s="216"/>
      <c r="R59" s="216"/>
      <c r="S59" s="216"/>
      <c r="T59" s="216"/>
    </row>
    <row r="60" spans="2:20" s="31" customFormat="1">
      <c r="B60" s="398"/>
      <c r="C60" s="398"/>
      <c r="E60" s="398"/>
      <c r="F60" s="451"/>
      <c r="G60" s="452"/>
      <c r="H60" s="452"/>
      <c r="I60" s="452"/>
      <c r="J60" s="453"/>
      <c r="K60" s="453"/>
    </row>
    <row r="61" spans="2:20">
      <c r="B61" s="443" t="s">
        <v>351</v>
      </c>
      <c r="I61" s="67"/>
    </row>
    <row r="62" spans="2:20">
      <c r="C62" s="116">
        <v>2014</v>
      </c>
      <c r="D62" s="117">
        <f t="shared" ref="D62:L62" si="5">C62+1</f>
        <v>2015</v>
      </c>
      <c r="E62" s="117">
        <f t="shared" si="5"/>
        <v>2016</v>
      </c>
      <c r="F62" s="117">
        <f t="shared" si="5"/>
        <v>2017</v>
      </c>
      <c r="G62" s="117">
        <f t="shared" si="5"/>
        <v>2018</v>
      </c>
      <c r="H62" s="117">
        <f t="shared" si="5"/>
        <v>2019</v>
      </c>
      <c r="I62" s="117">
        <f t="shared" si="5"/>
        <v>2020</v>
      </c>
      <c r="J62" s="117">
        <f t="shared" si="5"/>
        <v>2021</v>
      </c>
      <c r="K62" s="117">
        <f t="shared" si="5"/>
        <v>2022</v>
      </c>
      <c r="L62" s="194">
        <f t="shared" si="5"/>
        <v>2023</v>
      </c>
    </row>
    <row r="63" spans="2:20">
      <c r="B63" s="440" t="s">
        <v>349</v>
      </c>
      <c r="C63" s="565"/>
      <c r="D63" s="566"/>
      <c r="E63" s="438">
        <v>2.5499999999999998E-2</v>
      </c>
      <c r="F63" s="438">
        <v>2.3799999999999998E-2</v>
      </c>
      <c r="G63" s="438">
        <v>2.2200000000000001E-2</v>
      </c>
      <c r="H63" s="438">
        <v>1.9099999999999999E-2</v>
      </c>
      <c r="I63" s="438">
        <v>1.5800000000000002E-2</v>
      </c>
      <c r="J63" s="438">
        <v>1.09E-2</v>
      </c>
      <c r="K63" s="438">
        <v>7.7000000000000002E-3</v>
      </c>
      <c r="L63" s="439">
        <v>4.5999999999999999E-3</v>
      </c>
    </row>
    <row r="64" spans="2:20">
      <c r="B64" s="441" t="s">
        <v>336</v>
      </c>
      <c r="C64" s="553"/>
      <c r="D64" s="554"/>
      <c r="E64" s="400">
        <v>2.5499999999999998E-2</v>
      </c>
      <c r="F64" s="400">
        <v>2.4199999999999999E-2</v>
      </c>
      <c r="G64" s="400">
        <v>2.29E-2</v>
      </c>
      <c r="H64" s="400">
        <v>2.0899999999999998E-2</v>
      </c>
      <c r="I64" s="400">
        <v>1.9400000000000001E-2</v>
      </c>
      <c r="J64" s="400">
        <v>1.78E-2</v>
      </c>
      <c r="K64" s="400">
        <v>1.6299999999999999E-2</v>
      </c>
      <c r="L64" s="403">
        <v>1.4800000000000001E-2</v>
      </c>
    </row>
    <row r="65" spans="1:20">
      <c r="B65" s="441" t="s">
        <v>61</v>
      </c>
      <c r="C65" s="399">
        <v>2.92E-2</v>
      </c>
      <c r="D65" s="400">
        <v>2.5000000000000001E-2</v>
      </c>
      <c r="E65" s="400">
        <v>2.1499999999999998E-2</v>
      </c>
      <c r="F65" s="400">
        <v>1.7899999999999999E-2</v>
      </c>
      <c r="G65" s="400">
        <v>1.5100000000000001E-2</v>
      </c>
      <c r="H65" s="400">
        <v>1.1599999999999999E-2</v>
      </c>
      <c r="I65" s="400">
        <v>1.0200000000000001E-2</v>
      </c>
      <c r="J65" s="400">
        <v>8.3000000000000001E-3</v>
      </c>
      <c r="K65" s="567"/>
      <c r="L65" s="568"/>
    </row>
    <row r="66" spans="1:20">
      <c r="B66" s="441" t="s">
        <v>350</v>
      </c>
      <c r="C66" s="436">
        <v>2.92E-2</v>
      </c>
      <c r="D66" s="437">
        <v>2.7199999999999998E-2</v>
      </c>
      <c r="E66" s="437">
        <v>2.5499999999999998E-2</v>
      </c>
      <c r="F66" s="437">
        <v>2.3800000000000002E-2</v>
      </c>
      <c r="G66" s="437">
        <v>2.2200000000000001E-2</v>
      </c>
      <c r="H66" s="437">
        <v>1.9099999999999999E-2</v>
      </c>
      <c r="I66" s="437">
        <v>1.5800000000000002E-2</v>
      </c>
      <c r="J66" s="437">
        <v>1.09E-2</v>
      </c>
      <c r="K66" s="554"/>
      <c r="L66" s="555"/>
    </row>
    <row r="67" spans="1:20">
      <c r="B67" s="441" t="s">
        <v>173</v>
      </c>
      <c r="C67" s="399">
        <v>2.92E-2</v>
      </c>
      <c r="D67" s="400">
        <v>2.7199999999999998E-2</v>
      </c>
      <c r="E67" s="400">
        <v>2.5499999999999998E-2</v>
      </c>
      <c r="F67" s="400">
        <v>2.3800000000000002E-2</v>
      </c>
      <c r="G67" s="400">
        <v>2.2200000000000001E-2</v>
      </c>
      <c r="H67" s="437">
        <v>1.9099999999999999E-2</v>
      </c>
      <c r="I67" s="437">
        <v>1.5800000000000002E-2</v>
      </c>
      <c r="J67" s="437">
        <v>1.09E-2</v>
      </c>
      <c r="K67" s="554"/>
      <c r="L67" s="555"/>
    </row>
    <row r="68" spans="1:20">
      <c r="B68" s="442" t="s">
        <v>175</v>
      </c>
      <c r="C68" s="401">
        <v>2.92E-2</v>
      </c>
      <c r="D68" s="402">
        <v>2.7199999999999998E-2</v>
      </c>
      <c r="E68" s="402">
        <v>2.5499999999999998E-2</v>
      </c>
      <c r="F68" s="402">
        <v>2.3800000000000002E-2</v>
      </c>
      <c r="G68" s="402">
        <v>2.2200000000000001E-2</v>
      </c>
      <c r="H68" s="402">
        <v>1.9099999999999999E-2</v>
      </c>
      <c r="I68" s="402">
        <v>1.5800000000000002E-2</v>
      </c>
      <c r="J68" s="402">
        <v>1.09E-2</v>
      </c>
      <c r="K68" s="556"/>
      <c r="L68" s="557"/>
    </row>
    <row r="69" spans="1:20">
      <c r="I69" s="67"/>
    </row>
    <row r="70" spans="1:20">
      <c r="H70" s="67"/>
      <c r="K70" s="42"/>
      <c r="L70" s="42"/>
      <c r="M70" s="42"/>
      <c r="N70" s="42"/>
      <c r="O70" s="42"/>
      <c r="P70" s="42"/>
      <c r="Q70" s="42"/>
      <c r="R70" s="42"/>
      <c r="S70" s="42"/>
      <c r="T70" s="42"/>
    </row>
    <row r="71" spans="1:20" ht="37.799999999999997">
      <c r="B71" s="22"/>
      <c r="C71" s="74" t="s">
        <v>251</v>
      </c>
      <c r="D71" s="75" t="s">
        <v>212</v>
      </c>
      <c r="E71" s="75" t="s">
        <v>72</v>
      </c>
      <c r="F71" s="75" t="s">
        <v>274</v>
      </c>
      <c r="G71" s="75" t="s">
        <v>116</v>
      </c>
      <c r="H71" s="76" t="s">
        <v>186</v>
      </c>
      <c r="I71" s="329" t="s">
        <v>269</v>
      </c>
      <c r="J71" s="329" t="s">
        <v>482</v>
      </c>
      <c r="K71" s="988" t="s">
        <v>345</v>
      </c>
      <c r="L71" s="989"/>
      <c r="M71" s="989"/>
      <c r="N71" s="989"/>
      <c r="O71" s="989"/>
      <c r="P71" s="989"/>
      <c r="Q71" s="989"/>
      <c r="R71" s="989"/>
      <c r="S71" s="989"/>
      <c r="T71" s="990"/>
    </row>
    <row r="72" spans="1:20">
      <c r="A72" s="333" t="s">
        <v>189</v>
      </c>
      <c r="B72" s="68" t="s">
        <v>69</v>
      </c>
      <c r="C72" s="305"/>
      <c r="D72" s="70"/>
      <c r="E72" s="69"/>
      <c r="F72" s="69"/>
      <c r="G72" s="70"/>
      <c r="H72" s="71"/>
      <c r="I72" s="71"/>
      <c r="J72" s="423"/>
      <c r="K72" s="424">
        <v>2014</v>
      </c>
      <c r="L72" s="425">
        <f t="shared" ref="L72:T72" si="6">K72+1</f>
        <v>2015</v>
      </c>
      <c r="M72" s="425">
        <f t="shared" si="6"/>
        <v>2016</v>
      </c>
      <c r="N72" s="425">
        <f t="shared" si="6"/>
        <v>2017</v>
      </c>
      <c r="O72" s="425">
        <f t="shared" si="6"/>
        <v>2018</v>
      </c>
      <c r="P72" s="425">
        <f t="shared" si="6"/>
        <v>2019</v>
      </c>
      <c r="Q72" s="425">
        <f t="shared" si="6"/>
        <v>2020</v>
      </c>
      <c r="R72" s="425">
        <f t="shared" si="6"/>
        <v>2021</v>
      </c>
      <c r="S72" s="425">
        <f t="shared" si="6"/>
        <v>2022</v>
      </c>
      <c r="T72" s="426">
        <f t="shared" si="6"/>
        <v>2023</v>
      </c>
    </row>
    <row r="73" spans="1:20">
      <c r="A73" s="60" t="s">
        <v>172</v>
      </c>
      <c r="B73" s="72" t="s">
        <v>43</v>
      </c>
      <c r="C73" s="306">
        <v>0.06</v>
      </c>
      <c r="D73" s="307">
        <v>0.58109999999999995</v>
      </c>
      <c r="E73" s="308">
        <v>0.65</v>
      </c>
      <c r="F73" s="308">
        <v>0.68</v>
      </c>
      <c r="G73" s="339">
        <v>2016</v>
      </c>
      <c r="H73" s="340" t="str">
        <f t="shared" ref="H73:H97" si="7">VLOOKUP($A73,$E$54:$F$57,2,FALSE)</f>
        <v>£m 12/13</v>
      </c>
      <c r="I73" s="340" t="s">
        <v>270</v>
      </c>
      <c r="J73" s="423" t="s">
        <v>483</v>
      </c>
      <c r="K73" s="553"/>
      <c r="L73" s="554"/>
      <c r="M73" s="431">
        <f t="shared" ref="M73:M82" si="8">E$64</f>
        <v>2.5499999999999998E-2</v>
      </c>
      <c r="N73" s="431">
        <f t="shared" ref="N73:N82" si="9">F$64</f>
        <v>2.4199999999999999E-2</v>
      </c>
      <c r="O73" s="431">
        <f t="shared" ref="O73:O82" si="10">G$64</f>
        <v>2.29E-2</v>
      </c>
      <c r="P73" s="431">
        <f t="shared" ref="P73:P82" si="11">H$64</f>
        <v>2.0899999999999998E-2</v>
      </c>
      <c r="Q73" s="431">
        <f t="shared" ref="Q73:Q82" si="12">I$64</f>
        <v>1.9400000000000001E-2</v>
      </c>
      <c r="R73" s="431">
        <f t="shared" ref="R73:R82" si="13">J$64</f>
        <v>1.78E-2</v>
      </c>
      <c r="S73" s="431">
        <f t="shared" ref="S73:S82" si="14">K$64</f>
        <v>1.6299999999999999E-2</v>
      </c>
      <c r="T73" s="435">
        <f t="shared" ref="T73:T82" si="15">L$64</f>
        <v>1.4800000000000001E-2</v>
      </c>
    </row>
    <row r="74" spans="1:20">
      <c r="A74" s="60" t="s">
        <v>172</v>
      </c>
      <c r="B74" s="72" t="s">
        <v>44</v>
      </c>
      <c r="C74" s="306">
        <v>0.06</v>
      </c>
      <c r="D74" s="307">
        <v>0.55843703457782867</v>
      </c>
      <c r="E74" s="308">
        <v>0.65</v>
      </c>
      <c r="F74" s="308">
        <v>0.7</v>
      </c>
      <c r="G74" s="339">
        <v>2016</v>
      </c>
      <c r="H74" s="340" t="str">
        <f t="shared" si="7"/>
        <v>£m 12/13</v>
      </c>
      <c r="I74" s="340" t="s">
        <v>270</v>
      </c>
      <c r="J74" s="423" t="s">
        <v>483</v>
      </c>
      <c r="K74" s="553"/>
      <c r="L74" s="554"/>
      <c r="M74" s="431">
        <f t="shared" si="8"/>
        <v>2.5499999999999998E-2</v>
      </c>
      <c r="N74" s="431">
        <f t="shared" si="9"/>
        <v>2.4199999999999999E-2</v>
      </c>
      <c r="O74" s="431">
        <f t="shared" si="10"/>
        <v>2.29E-2</v>
      </c>
      <c r="P74" s="431">
        <f t="shared" si="11"/>
        <v>2.0899999999999998E-2</v>
      </c>
      <c r="Q74" s="431">
        <f t="shared" si="12"/>
        <v>1.9400000000000001E-2</v>
      </c>
      <c r="R74" s="431">
        <f t="shared" si="13"/>
        <v>1.78E-2</v>
      </c>
      <c r="S74" s="431">
        <f t="shared" si="14"/>
        <v>1.6299999999999999E-2</v>
      </c>
      <c r="T74" s="435">
        <f t="shared" si="15"/>
        <v>1.4800000000000001E-2</v>
      </c>
    </row>
    <row r="75" spans="1:20">
      <c r="A75" s="60" t="s">
        <v>172</v>
      </c>
      <c r="B75" s="72" t="s">
        <v>73</v>
      </c>
      <c r="C75" s="306">
        <v>0.06</v>
      </c>
      <c r="D75" s="307">
        <v>0.55843703457782867</v>
      </c>
      <c r="E75" s="308">
        <v>0.65</v>
      </c>
      <c r="F75" s="308">
        <v>0.72</v>
      </c>
      <c r="G75" s="339">
        <v>2016</v>
      </c>
      <c r="H75" s="340" t="str">
        <f t="shared" si="7"/>
        <v>£m 12/13</v>
      </c>
      <c r="I75" s="340" t="s">
        <v>270</v>
      </c>
      <c r="J75" s="423" t="s">
        <v>483</v>
      </c>
      <c r="K75" s="553"/>
      <c r="L75" s="554"/>
      <c r="M75" s="431">
        <f t="shared" si="8"/>
        <v>2.5499999999999998E-2</v>
      </c>
      <c r="N75" s="431">
        <f t="shared" si="9"/>
        <v>2.4199999999999999E-2</v>
      </c>
      <c r="O75" s="431">
        <f t="shared" si="10"/>
        <v>2.29E-2</v>
      </c>
      <c r="P75" s="431">
        <f t="shared" si="11"/>
        <v>2.0899999999999998E-2</v>
      </c>
      <c r="Q75" s="431">
        <f t="shared" si="12"/>
        <v>1.9400000000000001E-2</v>
      </c>
      <c r="R75" s="431">
        <f t="shared" si="13"/>
        <v>1.78E-2</v>
      </c>
      <c r="S75" s="431">
        <f t="shared" si="14"/>
        <v>1.6299999999999999E-2</v>
      </c>
      <c r="T75" s="435">
        <f t="shared" si="15"/>
        <v>1.4800000000000001E-2</v>
      </c>
    </row>
    <row r="76" spans="1:20">
      <c r="A76" s="60" t="s">
        <v>172</v>
      </c>
      <c r="B76" s="72" t="s">
        <v>59</v>
      </c>
      <c r="C76" s="306">
        <v>0.06</v>
      </c>
      <c r="D76" s="307">
        <v>0.53280000000000005</v>
      </c>
      <c r="E76" s="308">
        <v>0.65</v>
      </c>
      <c r="F76" s="308">
        <v>0.68</v>
      </c>
      <c r="G76" s="339">
        <v>2016</v>
      </c>
      <c r="H76" s="340" t="str">
        <f t="shared" si="7"/>
        <v>£m 12/13</v>
      </c>
      <c r="I76" s="340" t="s">
        <v>270</v>
      </c>
      <c r="J76" s="423" t="s">
        <v>483</v>
      </c>
      <c r="K76" s="553"/>
      <c r="L76" s="554"/>
      <c r="M76" s="431">
        <f t="shared" si="8"/>
        <v>2.5499999999999998E-2</v>
      </c>
      <c r="N76" s="431">
        <f t="shared" si="9"/>
        <v>2.4199999999999999E-2</v>
      </c>
      <c r="O76" s="431">
        <f t="shared" si="10"/>
        <v>2.29E-2</v>
      </c>
      <c r="P76" s="431">
        <f t="shared" si="11"/>
        <v>2.0899999999999998E-2</v>
      </c>
      <c r="Q76" s="431">
        <f t="shared" si="12"/>
        <v>1.9400000000000001E-2</v>
      </c>
      <c r="R76" s="431">
        <f t="shared" si="13"/>
        <v>1.78E-2</v>
      </c>
      <c r="S76" s="431">
        <f t="shared" si="14"/>
        <v>1.6299999999999999E-2</v>
      </c>
      <c r="T76" s="435">
        <f t="shared" si="15"/>
        <v>1.4800000000000001E-2</v>
      </c>
    </row>
    <row r="77" spans="1:20">
      <c r="A77" s="60" t="s">
        <v>172</v>
      </c>
      <c r="B77" s="72" t="s">
        <v>57</v>
      </c>
      <c r="C77" s="306">
        <v>0.06</v>
      </c>
      <c r="D77" s="307">
        <v>0.53280000000000005</v>
      </c>
      <c r="E77" s="308">
        <v>0.65</v>
      </c>
      <c r="F77" s="308">
        <v>0.68</v>
      </c>
      <c r="G77" s="339">
        <v>2016</v>
      </c>
      <c r="H77" s="340" t="str">
        <f t="shared" si="7"/>
        <v>£m 12/13</v>
      </c>
      <c r="I77" s="340" t="s">
        <v>270</v>
      </c>
      <c r="J77" s="423" t="s">
        <v>483</v>
      </c>
      <c r="K77" s="553"/>
      <c r="L77" s="554"/>
      <c r="M77" s="431">
        <f t="shared" si="8"/>
        <v>2.5499999999999998E-2</v>
      </c>
      <c r="N77" s="431">
        <f t="shared" si="9"/>
        <v>2.4199999999999999E-2</v>
      </c>
      <c r="O77" s="431">
        <f t="shared" si="10"/>
        <v>2.29E-2</v>
      </c>
      <c r="P77" s="431">
        <f t="shared" si="11"/>
        <v>2.0899999999999998E-2</v>
      </c>
      <c r="Q77" s="431">
        <f t="shared" si="12"/>
        <v>1.9400000000000001E-2</v>
      </c>
      <c r="R77" s="431">
        <f t="shared" si="13"/>
        <v>1.78E-2</v>
      </c>
      <c r="S77" s="431">
        <f t="shared" si="14"/>
        <v>1.6299999999999999E-2</v>
      </c>
      <c r="T77" s="435">
        <f t="shared" si="15"/>
        <v>1.4800000000000001E-2</v>
      </c>
    </row>
    <row r="78" spans="1:20">
      <c r="A78" s="60" t="s">
        <v>172</v>
      </c>
      <c r="B78" s="72" t="s">
        <v>58</v>
      </c>
      <c r="C78" s="306">
        <v>0.06</v>
      </c>
      <c r="D78" s="307">
        <v>0.53280000000000005</v>
      </c>
      <c r="E78" s="308">
        <v>0.65</v>
      </c>
      <c r="F78" s="308">
        <v>0.68</v>
      </c>
      <c r="G78" s="339">
        <v>2016</v>
      </c>
      <c r="H78" s="340" t="str">
        <f t="shared" si="7"/>
        <v>£m 12/13</v>
      </c>
      <c r="I78" s="340" t="s">
        <v>270</v>
      </c>
      <c r="J78" s="423" t="s">
        <v>483</v>
      </c>
      <c r="K78" s="553"/>
      <c r="L78" s="554"/>
      <c r="M78" s="431">
        <f t="shared" si="8"/>
        <v>2.5499999999999998E-2</v>
      </c>
      <c r="N78" s="431">
        <f t="shared" si="9"/>
        <v>2.4199999999999999E-2</v>
      </c>
      <c r="O78" s="431">
        <f t="shared" si="10"/>
        <v>2.29E-2</v>
      </c>
      <c r="P78" s="431">
        <f t="shared" si="11"/>
        <v>2.0899999999999998E-2</v>
      </c>
      <c r="Q78" s="431">
        <f t="shared" si="12"/>
        <v>1.9400000000000001E-2</v>
      </c>
      <c r="R78" s="431">
        <f t="shared" si="13"/>
        <v>1.78E-2</v>
      </c>
      <c r="S78" s="431">
        <f t="shared" si="14"/>
        <v>1.6299999999999999E-2</v>
      </c>
      <c r="T78" s="435">
        <f t="shared" si="15"/>
        <v>1.4800000000000001E-2</v>
      </c>
    </row>
    <row r="79" spans="1:20">
      <c r="A79" s="60" t="s">
        <v>172</v>
      </c>
      <c r="B79" s="72" t="s">
        <v>45</v>
      </c>
      <c r="C79" s="306">
        <v>0.06</v>
      </c>
      <c r="D79" s="307">
        <v>0.53500000000000003</v>
      </c>
      <c r="E79" s="308">
        <v>0.65</v>
      </c>
      <c r="F79" s="308">
        <v>0.8</v>
      </c>
      <c r="G79" s="339">
        <v>2016</v>
      </c>
      <c r="H79" s="340" t="str">
        <f t="shared" si="7"/>
        <v>£m 12/13</v>
      </c>
      <c r="I79" s="340" t="s">
        <v>270</v>
      </c>
      <c r="J79" s="423" t="s">
        <v>483</v>
      </c>
      <c r="K79" s="553"/>
      <c r="L79" s="554"/>
      <c r="M79" s="431">
        <f t="shared" si="8"/>
        <v>2.5499999999999998E-2</v>
      </c>
      <c r="N79" s="431">
        <f t="shared" si="9"/>
        <v>2.4199999999999999E-2</v>
      </c>
      <c r="O79" s="431">
        <f t="shared" si="10"/>
        <v>2.29E-2</v>
      </c>
      <c r="P79" s="431">
        <f t="shared" si="11"/>
        <v>2.0899999999999998E-2</v>
      </c>
      <c r="Q79" s="431">
        <f t="shared" si="12"/>
        <v>1.9400000000000001E-2</v>
      </c>
      <c r="R79" s="431">
        <f t="shared" si="13"/>
        <v>1.78E-2</v>
      </c>
      <c r="S79" s="431">
        <f t="shared" si="14"/>
        <v>1.6299999999999999E-2</v>
      </c>
      <c r="T79" s="435">
        <f t="shared" si="15"/>
        <v>1.4800000000000001E-2</v>
      </c>
    </row>
    <row r="80" spans="1:20">
      <c r="A80" s="60" t="s">
        <v>172</v>
      </c>
      <c r="B80" s="72" t="s">
        <v>46</v>
      </c>
      <c r="C80" s="306">
        <v>0.06</v>
      </c>
      <c r="D80" s="307">
        <v>0.53500000000000003</v>
      </c>
      <c r="E80" s="308">
        <v>0.65</v>
      </c>
      <c r="F80" s="308">
        <v>0.8</v>
      </c>
      <c r="G80" s="339">
        <v>2016</v>
      </c>
      <c r="H80" s="340" t="str">
        <f t="shared" si="7"/>
        <v>£m 12/13</v>
      </c>
      <c r="I80" s="340" t="s">
        <v>270</v>
      </c>
      <c r="J80" s="423" t="s">
        <v>483</v>
      </c>
      <c r="K80" s="553"/>
      <c r="L80" s="554"/>
      <c r="M80" s="431">
        <f t="shared" si="8"/>
        <v>2.5499999999999998E-2</v>
      </c>
      <c r="N80" s="431">
        <f t="shared" si="9"/>
        <v>2.4199999999999999E-2</v>
      </c>
      <c r="O80" s="431">
        <f t="shared" si="10"/>
        <v>2.29E-2</v>
      </c>
      <c r="P80" s="431">
        <f t="shared" si="11"/>
        <v>2.0899999999999998E-2</v>
      </c>
      <c r="Q80" s="431">
        <f t="shared" si="12"/>
        <v>1.9400000000000001E-2</v>
      </c>
      <c r="R80" s="431">
        <f t="shared" si="13"/>
        <v>1.78E-2</v>
      </c>
      <c r="S80" s="431">
        <f t="shared" si="14"/>
        <v>1.6299999999999999E-2</v>
      </c>
      <c r="T80" s="435">
        <f t="shared" si="15"/>
        <v>1.4800000000000001E-2</v>
      </c>
    </row>
    <row r="81" spans="1:20">
      <c r="A81" s="60" t="s">
        <v>172</v>
      </c>
      <c r="B81" s="72" t="s">
        <v>47</v>
      </c>
      <c r="C81" s="306">
        <v>0.06</v>
      </c>
      <c r="D81" s="307">
        <v>0.56469999999999998</v>
      </c>
      <c r="E81" s="308">
        <v>0.65</v>
      </c>
      <c r="F81" s="308">
        <v>0.62</v>
      </c>
      <c r="G81" s="339">
        <v>2016</v>
      </c>
      <c r="H81" s="340" t="str">
        <f t="shared" si="7"/>
        <v>£m 12/13</v>
      </c>
      <c r="I81" s="340" t="s">
        <v>270</v>
      </c>
      <c r="J81" s="423" t="s">
        <v>483</v>
      </c>
      <c r="K81" s="553"/>
      <c r="L81" s="554"/>
      <c r="M81" s="431">
        <f t="shared" si="8"/>
        <v>2.5499999999999998E-2</v>
      </c>
      <c r="N81" s="431">
        <f t="shared" si="9"/>
        <v>2.4199999999999999E-2</v>
      </c>
      <c r="O81" s="431">
        <f t="shared" si="10"/>
        <v>2.29E-2</v>
      </c>
      <c r="P81" s="431">
        <f t="shared" si="11"/>
        <v>2.0899999999999998E-2</v>
      </c>
      <c r="Q81" s="431">
        <f t="shared" si="12"/>
        <v>1.9400000000000001E-2</v>
      </c>
      <c r="R81" s="431">
        <f t="shared" si="13"/>
        <v>1.78E-2</v>
      </c>
      <c r="S81" s="431">
        <f t="shared" si="14"/>
        <v>1.6299999999999999E-2</v>
      </c>
      <c r="T81" s="435">
        <f t="shared" si="15"/>
        <v>1.4800000000000001E-2</v>
      </c>
    </row>
    <row r="82" spans="1:20">
      <c r="A82" s="60" t="s">
        <v>172</v>
      </c>
      <c r="B82" s="72" t="s">
        <v>48</v>
      </c>
      <c r="C82" s="306">
        <v>0.06</v>
      </c>
      <c r="D82" s="307">
        <v>0.56469999999999998</v>
      </c>
      <c r="E82" s="308">
        <v>0.65</v>
      </c>
      <c r="F82" s="308">
        <v>0.7</v>
      </c>
      <c r="G82" s="339">
        <v>2016</v>
      </c>
      <c r="H82" s="340" t="str">
        <f t="shared" si="7"/>
        <v>£m 12/13</v>
      </c>
      <c r="I82" s="340" t="s">
        <v>270</v>
      </c>
      <c r="J82" s="423" t="s">
        <v>483</v>
      </c>
      <c r="K82" s="553"/>
      <c r="L82" s="554"/>
      <c r="M82" s="431">
        <f t="shared" si="8"/>
        <v>2.5499999999999998E-2</v>
      </c>
      <c r="N82" s="431">
        <f t="shared" si="9"/>
        <v>2.4199999999999999E-2</v>
      </c>
      <c r="O82" s="431">
        <f t="shared" si="10"/>
        <v>2.29E-2</v>
      </c>
      <c r="P82" s="431">
        <f t="shared" si="11"/>
        <v>2.0899999999999998E-2</v>
      </c>
      <c r="Q82" s="431">
        <f t="shared" si="12"/>
        <v>1.9400000000000001E-2</v>
      </c>
      <c r="R82" s="431">
        <f t="shared" si="13"/>
        <v>1.78E-2</v>
      </c>
      <c r="S82" s="431">
        <f t="shared" si="14"/>
        <v>1.6299999999999999E-2</v>
      </c>
      <c r="T82" s="435">
        <f t="shared" si="15"/>
        <v>1.4800000000000001E-2</v>
      </c>
    </row>
    <row r="83" spans="1:20">
      <c r="A83" s="60" t="s">
        <v>172</v>
      </c>
      <c r="B83" s="72" t="s">
        <v>246</v>
      </c>
      <c r="C83" s="306">
        <v>6.4000000000000001E-2</v>
      </c>
      <c r="D83" s="307">
        <v>0.7</v>
      </c>
      <c r="E83" s="308">
        <v>0.65</v>
      </c>
      <c r="F83" s="308">
        <v>0.8</v>
      </c>
      <c r="G83" s="339">
        <v>2016</v>
      </c>
      <c r="H83" s="340" t="str">
        <f t="shared" si="7"/>
        <v>£m 12/13</v>
      </c>
      <c r="I83" s="340" t="s">
        <v>271</v>
      </c>
      <c r="J83" s="423" t="s">
        <v>484</v>
      </c>
      <c r="K83" s="553"/>
      <c r="L83" s="554"/>
      <c r="M83" s="431">
        <f t="shared" ref="M83:T86" si="16">E$63</f>
        <v>2.5499999999999998E-2</v>
      </c>
      <c r="N83" s="431">
        <f t="shared" si="16"/>
        <v>2.3799999999999998E-2</v>
      </c>
      <c r="O83" s="431">
        <f t="shared" si="16"/>
        <v>2.2200000000000001E-2</v>
      </c>
      <c r="P83" s="431">
        <f t="shared" si="16"/>
        <v>1.9099999999999999E-2</v>
      </c>
      <c r="Q83" s="431">
        <f t="shared" si="16"/>
        <v>1.5800000000000002E-2</v>
      </c>
      <c r="R83" s="431">
        <f t="shared" si="16"/>
        <v>1.09E-2</v>
      </c>
      <c r="S83" s="431">
        <f t="shared" si="16"/>
        <v>7.7000000000000002E-3</v>
      </c>
      <c r="T83" s="435">
        <f t="shared" si="16"/>
        <v>4.5999999999999999E-3</v>
      </c>
    </row>
    <row r="84" spans="1:20">
      <c r="A84" s="60" t="s">
        <v>172</v>
      </c>
      <c r="B84" s="72" t="s">
        <v>247</v>
      </c>
      <c r="C84" s="306">
        <v>6.4000000000000001E-2</v>
      </c>
      <c r="D84" s="307">
        <v>0.7</v>
      </c>
      <c r="E84" s="308">
        <v>0.65</v>
      </c>
      <c r="F84" s="308">
        <v>0.8</v>
      </c>
      <c r="G84" s="339">
        <v>2016</v>
      </c>
      <c r="H84" s="340" t="str">
        <f t="shared" si="7"/>
        <v>£m 12/13</v>
      </c>
      <c r="I84" s="340" t="s">
        <v>271</v>
      </c>
      <c r="J84" s="423" t="s">
        <v>484</v>
      </c>
      <c r="K84" s="553"/>
      <c r="L84" s="554"/>
      <c r="M84" s="431">
        <f t="shared" si="16"/>
        <v>2.5499999999999998E-2</v>
      </c>
      <c r="N84" s="431">
        <f t="shared" si="16"/>
        <v>2.3799999999999998E-2</v>
      </c>
      <c r="O84" s="431">
        <f t="shared" si="16"/>
        <v>2.2200000000000001E-2</v>
      </c>
      <c r="P84" s="431">
        <f t="shared" si="16"/>
        <v>1.9099999999999999E-2</v>
      </c>
      <c r="Q84" s="431">
        <f t="shared" si="16"/>
        <v>1.5800000000000002E-2</v>
      </c>
      <c r="R84" s="431">
        <f t="shared" si="16"/>
        <v>1.09E-2</v>
      </c>
      <c r="S84" s="431">
        <f t="shared" si="16"/>
        <v>7.7000000000000002E-3</v>
      </c>
      <c r="T84" s="435">
        <f t="shared" si="16"/>
        <v>4.5999999999999999E-3</v>
      </c>
    </row>
    <row r="85" spans="1:20">
      <c r="A85" s="60" t="s">
        <v>172</v>
      </c>
      <c r="B85" s="72" t="s">
        <v>248</v>
      </c>
      <c r="C85" s="306">
        <v>6.4000000000000001E-2</v>
      </c>
      <c r="D85" s="307">
        <v>0.7</v>
      </c>
      <c r="E85" s="308">
        <v>0.65</v>
      </c>
      <c r="F85" s="308">
        <v>0.8</v>
      </c>
      <c r="G85" s="339">
        <v>2016</v>
      </c>
      <c r="H85" s="340" t="str">
        <f t="shared" si="7"/>
        <v>£m 12/13</v>
      </c>
      <c r="I85" s="340" t="s">
        <v>271</v>
      </c>
      <c r="J85" s="423" t="s">
        <v>484</v>
      </c>
      <c r="K85" s="553"/>
      <c r="L85" s="554"/>
      <c r="M85" s="431">
        <f t="shared" si="16"/>
        <v>2.5499999999999998E-2</v>
      </c>
      <c r="N85" s="431">
        <f t="shared" si="16"/>
        <v>2.3799999999999998E-2</v>
      </c>
      <c r="O85" s="431">
        <f t="shared" si="16"/>
        <v>2.2200000000000001E-2</v>
      </c>
      <c r="P85" s="431">
        <f t="shared" si="16"/>
        <v>1.9099999999999999E-2</v>
      </c>
      <c r="Q85" s="431">
        <f t="shared" si="16"/>
        <v>1.5800000000000002E-2</v>
      </c>
      <c r="R85" s="431">
        <f t="shared" si="16"/>
        <v>1.09E-2</v>
      </c>
      <c r="S85" s="431">
        <f t="shared" si="16"/>
        <v>7.7000000000000002E-3</v>
      </c>
      <c r="T85" s="435">
        <f t="shared" si="16"/>
        <v>4.5999999999999999E-3</v>
      </c>
    </row>
    <row r="86" spans="1:20">
      <c r="A86" s="60" t="s">
        <v>172</v>
      </c>
      <c r="B86" s="72" t="s">
        <v>249</v>
      </c>
      <c r="C86" s="306">
        <v>6.4000000000000001E-2</v>
      </c>
      <c r="D86" s="307">
        <v>0.7</v>
      </c>
      <c r="E86" s="308">
        <v>0.65</v>
      </c>
      <c r="F86" s="308">
        <v>0.8</v>
      </c>
      <c r="G86" s="339">
        <v>2016</v>
      </c>
      <c r="H86" s="340" t="str">
        <f t="shared" si="7"/>
        <v>£m 12/13</v>
      </c>
      <c r="I86" s="340" t="s">
        <v>271</v>
      </c>
      <c r="J86" s="423" t="s">
        <v>484</v>
      </c>
      <c r="K86" s="553"/>
      <c r="L86" s="554"/>
      <c r="M86" s="431">
        <f t="shared" si="16"/>
        <v>2.5499999999999998E-2</v>
      </c>
      <c r="N86" s="431">
        <f t="shared" si="16"/>
        <v>2.3799999999999998E-2</v>
      </c>
      <c r="O86" s="431">
        <f t="shared" si="16"/>
        <v>2.2200000000000001E-2</v>
      </c>
      <c r="P86" s="431">
        <f t="shared" si="16"/>
        <v>1.9099999999999999E-2</v>
      </c>
      <c r="Q86" s="431">
        <f t="shared" si="16"/>
        <v>1.5800000000000002E-2</v>
      </c>
      <c r="R86" s="431">
        <f t="shared" si="16"/>
        <v>1.09E-2</v>
      </c>
      <c r="S86" s="431">
        <f t="shared" si="16"/>
        <v>7.7000000000000002E-3</v>
      </c>
      <c r="T86" s="435">
        <f t="shared" si="16"/>
        <v>4.5999999999999999E-3</v>
      </c>
    </row>
    <row r="87" spans="1:20">
      <c r="A87" s="60" t="s">
        <v>173</v>
      </c>
      <c r="B87" s="72" t="s">
        <v>53</v>
      </c>
      <c r="C87" s="306">
        <v>6.7000000000000004E-2</v>
      </c>
      <c r="D87" s="307">
        <v>0.63039999999999996</v>
      </c>
      <c r="E87" s="308">
        <v>0.65</v>
      </c>
      <c r="F87" s="308">
        <v>0.26634501855794862</v>
      </c>
      <c r="G87" s="339">
        <v>2014</v>
      </c>
      <c r="H87" s="340" t="str">
        <f t="shared" si="7"/>
        <v>£m 09/10</v>
      </c>
      <c r="I87" s="340" t="s">
        <v>270</v>
      </c>
      <c r="J87" s="423" t="s">
        <v>484</v>
      </c>
      <c r="K87" s="433">
        <f t="shared" ref="K87:R94" si="17">C$67</f>
        <v>2.92E-2</v>
      </c>
      <c r="L87" s="431">
        <f t="shared" si="17"/>
        <v>2.7199999999999998E-2</v>
      </c>
      <c r="M87" s="431">
        <f t="shared" si="17"/>
        <v>2.5499999999999998E-2</v>
      </c>
      <c r="N87" s="431">
        <f t="shared" si="17"/>
        <v>2.3800000000000002E-2</v>
      </c>
      <c r="O87" s="431">
        <f t="shared" si="17"/>
        <v>2.2200000000000001E-2</v>
      </c>
      <c r="P87" s="431">
        <f t="shared" si="17"/>
        <v>1.9099999999999999E-2</v>
      </c>
      <c r="Q87" s="431">
        <f t="shared" si="17"/>
        <v>1.5800000000000002E-2</v>
      </c>
      <c r="R87" s="431">
        <f t="shared" si="17"/>
        <v>1.09E-2</v>
      </c>
      <c r="S87" s="554"/>
      <c r="T87" s="555"/>
    </row>
    <row r="88" spans="1:20">
      <c r="A88" s="60" t="s">
        <v>173</v>
      </c>
      <c r="B88" s="72" t="s">
        <v>54</v>
      </c>
      <c r="C88" s="306">
        <v>6.7000000000000004E-2</v>
      </c>
      <c r="D88" s="307">
        <v>0.63039999999999996</v>
      </c>
      <c r="E88" s="308">
        <v>0.65</v>
      </c>
      <c r="F88" s="308">
        <v>0.23469337831705597</v>
      </c>
      <c r="G88" s="339">
        <v>2014</v>
      </c>
      <c r="H88" s="340" t="str">
        <f t="shared" si="7"/>
        <v>£m 09/10</v>
      </c>
      <c r="I88" s="340" t="s">
        <v>270</v>
      </c>
      <c r="J88" s="423" t="s">
        <v>484</v>
      </c>
      <c r="K88" s="433">
        <f t="shared" si="17"/>
        <v>2.92E-2</v>
      </c>
      <c r="L88" s="431">
        <f t="shared" si="17"/>
        <v>2.7199999999999998E-2</v>
      </c>
      <c r="M88" s="431">
        <f t="shared" si="17"/>
        <v>2.5499999999999998E-2</v>
      </c>
      <c r="N88" s="431">
        <f t="shared" si="17"/>
        <v>2.3800000000000002E-2</v>
      </c>
      <c r="O88" s="431">
        <f t="shared" si="17"/>
        <v>2.2200000000000001E-2</v>
      </c>
      <c r="P88" s="431">
        <f t="shared" si="17"/>
        <v>1.9099999999999999E-2</v>
      </c>
      <c r="Q88" s="431">
        <f t="shared" si="17"/>
        <v>1.5800000000000002E-2</v>
      </c>
      <c r="R88" s="431">
        <f t="shared" si="17"/>
        <v>1.09E-2</v>
      </c>
      <c r="S88" s="554"/>
      <c r="T88" s="555"/>
    </row>
    <row r="89" spans="1:20">
      <c r="A89" s="60" t="s">
        <v>173</v>
      </c>
      <c r="B89" s="72" t="s">
        <v>55</v>
      </c>
      <c r="C89" s="306">
        <v>6.7000000000000004E-2</v>
      </c>
      <c r="D89" s="307">
        <v>0.63039999999999996</v>
      </c>
      <c r="E89" s="308">
        <v>0.65</v>
      </c>
      <c r="F89" s="308">
        <v>0.24946223864843597</v>
      </c>
      <c r="G89" s="339">
        <v>2014</v>
      </c>
      <c r="H89" s="340" t="str">
        <f t="shared" si="7"/>
        <v>£m 09/10</v>
      </c>
      <c r="I89" s="340" t="s">
        <v>270</v>
      </c>
      <c r="J89" s="423" t="s">
        <v>484</v>
      </c>
      <c r="K89" s="433">
        <f t="shared" si="17"/>
        <v>2.92E-2</v>
      </c>
      <c r="L89" s="431">
        <f t="shared" si="17"/>
        <v>2.7199999999999998E-2</v>
      </c>
      <c r="M89" s="431">
        <f t="shared" si="17"/>
        <v>2.5499999999999998E-2</v>
      </c>
      <c r="N89" s="431">
        <f t="shared" si="17"/>
        <v>2.3800000000000002E-2</v>
      </c>
      <c r="O89" s="431">
        <f t="shared" si="17"/>
        <v>2.2200000000000001E-2</v>
      </c>
      <c r="P89" s="431">
        <f t="shared" si="17"/>
        <v>1.9099999999999999E-2</v>
      </c>
      <c r="Q89" s="431">
        <f t="shared" si="17"/>
        <v>1.5800000000000002E-2</v>
      </c>
      <c r="R89" s="431">
        <f t="shared" si="17"/>
        <v>1.09E-2</v>
      </c>
      <c r="S89" s="554"/>
      <c r="T89" s="555"/>
    </row>
    <row r="90" spans="1:20">
      <c r="A90" s="60" t="s">
        <v>173</v>
      </c>
      <c r="B90" s="72" t="s">
        <v>56</v>
      </c>
      <c r="C90" s="306">
        <v>6.7000000000000004E-2</v>
      </c>
      <c r="D90" s="307">
        <v>0.63039999999999996</v>
      </c>
      <c r="E90" s="308">
        <v>0.65</v>
      </c>
      <c r="F90" s="308">
        <v>0.26095352485819256</v>
      </c>
      <c r="G90" s="339">
        <v>2014</v>
      </c>
      <c r="H90" s="340" t="str">
        <f t="shared" si="7"/>
        <v>£m 09/10</v>
      </c>
      <c r="I90" s="340" t="s">
        <v>270</v>
      </c>
      <c r="J90" s="423" t="s">
        <v>484</v>
      </c>
      <c r="K90" s="433">
        <f t="shared" si="17"/>
        <v>2.92E-2</v>
      </c>
      <c r="L90" s="431">
        <f t="shared" si="17"/>
        <v>2.7199999999999998E-2</v>
      </c>
      <c r="M90" s="431">
        <f t="shared" si="17"/>
        <v>2.5499999999999998E-2</v>
      </c>
      <c r="N90" s="431">
        <f t="shared" si="17"/>
        <v>2.3800000000000002E-2</v>
      </c>
      <c r="O90" s="431">
        <f t="shared" si="17"/>
        <v>2.2200000000000001E-2</v>
      </c>
      <c r="P90" s="431">
        <f t="shared" si="17"/>
        <v>1.9099999999999999E-2</v>
      </c>
      <c r="Q90" s="431">
        <f t="shared" si="17"/>
        <v>1.5800000000000002E-2</v>
      </c>
      <c r="R90" s="431">
        <f t="shared" si="17"/>
        <v>1.09E-2</v>
      </c>
      <c r="S90" s="554"/>
      <c r="T90" s="555"/>
    </row>
    <row r="91" spans="1:20">
      <c r="A91" s="60" t="s">
        <v>173</v>
      </c>
      <c r="B91" s="72" t="s">
        <v>50</v>
      </c>
      <c r="C91" s="306">
        <v>6.7000000000000004E-2</v>
      </c>
      <c r="D91" s="307">
        <v>0.63980000000000004</v>
      </c>
      <c r="E91" s="308">
        <v>0.65</v>
      </c>
      <c r="F91" s="308">
        <v>0.34984411379298247</v>
      </c>
      <c r="G91" s="339">
        <v>2014</v>
      </c>
      <c r="H91" s="340" t="str">
        <f t="shared" si="7"/>
        <v>£m 09/10</v>
      </c>
      <c r="I91" s="340" t="s">
        <v>270</v>
      </c>
      <c r="J91" s="423" t="s">
        <v>484</v>
      </c>
      <c r="K91" s="433">
        <f t="shared" si="17"/>
        <v>2.92E-2</v>
      </c>
      <c r="L91" s="431">
        <f t="shared" si="17"/>
        <v>2.7199999999999998E-2</v>
      </c>
      <c r="M91" s="431">
        <f t="shared" si="17"/>
        <v>2.5499999999999998E-2</v>
      </c>
      <c r="N91" s="431">
        <f t="shared" si="17"/>
        <v>2.3800000000000002E-2</v>
      </c>
      <c r="O91" s="431">
        <f t="shared" si="17"/>
        <v>2.2200000000000001E-2</v>
      </c>
      <c r="P91" s="431">
        <f t="shared" si="17"/>
        <v>1.9099999999999999E-2</v>
      </c>
      <c r="Q91" s="431">
        <f t="shared" si="17"/>
        <v>1.5800000000000002E-2</v>
      </c>
      <c r="R91" s="431">
        <f t="shared" si="17"/>
        <v>1.09E-2</v>
      </c>
      <c r="S91" s="554"/>
      <c r="T91" s="555"/>
    </row>
    <row r="92" spans="1:20">
      <c r="A92" s="60" t="s">
        <v>173</v>
      </c>
      <c r="B92" s="72" t="s">
        <v>52</v>
      </c>
      <c r="C92" s="306">
        <v>6.7000000000000004E-2</v>
      </c>
      <c r="D92" s="307">
        <v>0.63729999999999998</v>
      </c>
      <c r="E92" s="308">
        <v>0.65</v>
      </c>
      <c r="F92" s="308">
        <v>0.35129049661183626</v>
      </c>
      <c r="G92" s="339">
        <v>2014</v>
      </c>
      <c r="H92" s="340" t="str">
        <f t="shared" si="7"/>
        <v>£m 09/10</v>
      </c>
      <c r="I92" s="340" t="s">
        <v>270</v>
      </c>
      <c r="J92" s="423" t="s">
        <v>484</v>
      </c>
      <c r="K92" s="433">
        <f t="shared" si="17"/>
        <v>2.92E-2</v>
      </c>
      <c r="L92" s="431">
        <f t="shared" si="17"/>
        <v>2.7199999999999998E-2</v>
      </c>
      <c r="M92" s="431">
        <f t="shared" si="17"/>
        <v>2.5499999999999998E-2</v>
      </c>
      <c r="N92" s="431">
        <f t="shared" si="17"/>
        <v>2.3800000000000002E-2</v>
      </c>
      <c r="O92" s="431">
        <f t="shared" si="17"/>
        <v>2.2200000000000001E-2</v>
      </c>
      <c r="P92" s="431">
        <f t="shared" si="17"/>
        <v>1.9099999999999999E-2</v>
      </c>
      <c r="Q92" s="431">
        <f t="shared" si="17"/>
        <v>1.5800000000000002E-2</v>
      </c>
      <c r="R92" s="431">
        <f t="shared" si="17"/>
        <v>1.09E-2</v>
      </c>
      <c r="S92" s="554"/>
      <c r="T92" s="555"/>
    </row>
    <row r="93" spans="1:20">
      <c r="A93" s="60" t="s">
        <v>173</v>
      </c>
      <c r="B93" s="72" t="s">
        <v>51</v>
      </c>
      <c r="C93" s="306">
        <v>6.7000000000000004E-2</v>
      </c>
      <c r="D93" s="307">
        <v>0.63729999999999998</v>
      </c>
      <c r="E93" s="308">
        <v>0.65</v>
      </c>
      <c r="F93" s="308">
        <v>0.32230855902021693</v>
      </c>
      <c r="G93" s="339">
        <v>2014</v>
      </c>
      <c r="H93" s="340" t="str">
        <f t="shared" si="7"/>
        <v>£m 09/10</v>
      </c>
      <c r="I93" s="340" t="s">
        <v>270</v>
      </c>
      <c r="J93" s="423" t="s">
        <v>484</v>
      </c>
      <c r="K93" s="433">
        <f t="shared" si="17"/>
        <v>2.92E-2</v>
      </c>
      <c r="L93" s="431">
        <f t="shared" si="17"/>
        <v>2.7199999999999998E-2</v>
      </c>
      <c r="M93" s="431">
        <f t="shared" si="17"/>
        <v>2.5499999999999998E-2</v>
      </c>
      <c r="N93" s="431">
        <f t="shared" si="17"/>
        <v>2.3800000000000002E-2</v>
      </c>
      <c r="O93" s="431">
        <f t="shared" si="17"/>
        <v>2.2200000000000001E-2</v>
      </c>
      <c r="P93" s="431">
        <f t="shared" si="17"/>
        <v>1.9099999999999999E-2</v>
      </c>
      <c r="Q93" s="431">
        <f t="shared" si="17"/>
        <v>1.5800000000000002E-2</v>
      </c>
      <c r="R93" s="431">
        <f t="shared" si="17"/>
        <v>1.09E-2</v>
      </c>
      <c r="S93" s="554"/>
      <c r="T93" s="555"/>
    </row>
    <row r="94" spans="1:20">
      <c r="A94" s="60" t="s">
        <v>173</v>
      </c>
      <c r="B94" s="72" t="s">
        <v>49</v>
      </c>
      <c r="C94" s="306">
        <v>6.7000000000000004E-2</v>
      </c>
      <c r="D94" s="307">
        <v>0.63170000000000004</v>
      </c>
      <c r="E94" s="308">
        <v>0.65</v>
      </c>
      <c r="F94" s="308">
        <v>0.35781904469402892</v>
      </c>
      <c r="G94" s="339">
        <v>2014</v>
      </c>
      <c r="H94" s="340" t="str">
        <f t="shared" si="7"/>
        <v>£m 09/10</v>
      </c>
      <c r="I94" s="340" t="s">
        <v>270</v>
      </c>
      <c r="J94" s="423" t="s">
        <v>484</v>
      </c>
      <c r="K94" s="433">
        <f t="shared" si="17"/>
        <v>2.92E-2</v>
      </c>
      <c r="L94" s="431">
        <f t="shared" si="17"/>
        <v>2.7199999999999998E-2</v>
      </c>
      <c r="M94" s="431">
        <f t="shared" si="17"/>
        <v>2.5499999999999998E-2</v>
      </c>
      <c r="N94" s="431">
        <f t="shared" si="17"/>
        <v>2.3800000000000002E-2</v>
      </c>
      <c r="O94" s="431">
        <f t="shared" si="17"/>
        <v>2.2200000000000001E-2</v>
      </c>
      <c r="P94" s="431">
        <f t="shared" si="17"/>
        <v>1.9099999999999999E-2</v>
      </c>
      <c r="Q94" s="431">
        <f t="shared" si="17"/>
        <v>1.5800000000000002E-2</v>
      </c>
      <c r="R94" s="431">
        <f t="shared" si="17"/>
        <v>1.09E-2</v>
      </c>
      <c r="S94" s="554"/>
      <c r="T94" s="555"/>
    </row>
    <row r="95" spans="1:20">
      <c r="A95" s="60" t="s">
        <v>175</v>
      </c>
      <c r="B95" s="72" t="s">
        <v>113</v>
      </c>
      <c r="C95" s="306">
        <v>6.8000000000000005E-2</v>
      </c>
      <c r="D95" s="307">
        <v>0.44359999999999999</v>
      </c>
      <c r="E95" s="308">
        <v>0.625</v>
      </c>
      <c r="F95" s="308">
        <v>0.64400000000000002</v>
      </c>
      <c r="G95" s="339">
        <v>2014</v>
      </c>
      <c r="H95" s="340" t="str">
        <f t="shared" si="7"/>
        <v>£m 09/10</v>
      </c>
      <c r="I95" s="340" t="s">
        <v>270</v>
      </c>
      <c r="J95" s="423" t="s">
        <v>484</v>
      </c>
      <c r="K95" s="433">
        <f t="shared" ref="K95:R96" si="18">C$68</f>
        <v>2.92E-2</v>
      </c>
      <c r="L95" s="431">
        <f t="shared" si="18"/>
        <v>2.7199999999999998E-2</v>
      </c>
      <c r="M95" s="431">
        <f t="shared" si="18"/>
        <v>2.5499999999999998E-2</v>
      </c>
      <c r="N95" s="431">
        <f t="shared" si="18"/>
        <v>2.3800000000000002E-2</v>
      </c>
      <c r="O95" s="431">
        <f t="shared" si="18"/>
        <v>2.2200000000000001E-2</v>
      </c>
      <c r="P95" s="431">
        <f t="shared" si="18"/>
        <v>1.9099999999999999E-2</v>
      </c>
      <c r="Q95" s="431">
        <f t="shared" si="18"/>
        <v>1.5800000000000002E-2</v>
      </c>
      <c r="R95" s="431">
        <f t="shared" si="18"/>
        <v>1.09E-2</v>
      </c>
      <c r="S95" s="554"/>
      <c r="T95" s="555"/>
    </row>
    <row r="96" spans="1:20">
      <c r="A96" s="60" t="s">
        <v>175</v>
      </c>
      <c r="B96" s="72" t="s">
        <v>114</v>
      </c>
      <c r="C96" s="306">
        <v>6.8000000000000005E-2</v>
      </c>
      <c r="D96" s="307">
        <v>0.44359999999999999</v>
      </c>
      <c r="E96" s="308">
        <v>0.625</v>
      </c>
      <c r="F96" s="308">
        <v>0.374</v>
      </c>
      <c r="G96" s="339">
        <v>2014</v>
      </c>
      <c r="H96" s="340" t="str">
        <f t="shared" si="7"/>
        <v>£m 09/10</v>
      </c>
      <c r="I96" s="340" t="s">
        <v>270</v>
      </c>
      <c r="J96" s="423" t="s">
        <v>484</v>
      </c>
      <c r="K96" s="433">
        <f t="shared" si="18"/>
        <v>2.92E-2</v>
      </c>
      <c r="L96" s="431">
        <f t="shared" si="18"/>
        <v>2.7199999999999998E-2</v>
      </c>
      <c r="M96" s="431">
        <f t="shared" si="18"/>
        <v>2.5499999999999998E-2</v>
      </c>
      <c r="N96" s="431">
        <f t="shared" si="18"/>
        <v>2.3800000000000002E-2</v>
      </c>
      <c r="O96" s="431">
        <f t="shared" si="18"/>
        <v>2.2200000000000001E-2</v>
      </c>
      <c r="P96" s="431">
        <f t="shared" si="18"/>
        <v>1.9099999999999999E-2</v>
      </c>
      <c r="Q96" s="431">
        <f t="shared" si="18"/>
        <v>1.5800000000000002E-2</v>
      </c>
      <c r="R96" s="431">
        <f t="shared" si="18"/>
        <v>1.09E-2</v>
      </c>
      <c r="S96" s="554"/>
      <c r="T96" s="555"/>
    </row>
    <row r="97" spans="1:20">
      <c r="A97" s="60" t="s">
        <v>174</v>
      </c>
      <c r="B97" s="72" t="s">
        <v>111</v>
      </c>
      <c r="C97" s="306">
        <v>7.0000000000000007E-2</v>
      </c>
      <c r="D97" s="307">
        <v>0.46889999999999998</v>
      </c>
      <c r="E97" s="308">
        <v>0.6</v>
      </c>
      <c r="F97" s="308">
        <v>0.85</v>
      </c>
      <c r="G97" s="339">
        <v>2014</v>
      </c>
      <c r="H97" s="340" t="str">
        <f t="shared" si="7"/>
        <v>£m 09/10</v>
      </c>
      <c r="I97" s="340" t="s">
        <v>270</v>
      </c>
      <c r="J97" s="423" t="s">
        <v>484</v>
      </c>
      <c r="K97" s="433">
        <f t="shared" ref="K97:R99" si="19">C$66</f>
        <v>2.92E-2</v>
      </c>
      <c r="L97" s="431">
        <f t="shared" si="19"/>
        <v>2.7199999999999998E-2</v>
      </c>
      <c r="M97" s="431">
        <f t="shared" si="19"/>
        <v>2.5499999999999998E-2</v>
      </c>
      <c r="N97" s="431">
        <f t="shared" si="19"/>
        <v>2.3800000000000002E-2</v>
      </c>
      <c r="O97" s="431">
        <f t="shared" si="19"/>
        <v>2.2200000000000001E-2</v>
      </c>
      <c r="P97" s="431">
        <f t="shared" si="19"/>
        <v>1.9099999999999999E-2</v>
      </c>
      <c r="Q97" s="431">
        <f t="shared" si="19"/>
        <v>1.5800000000000002E-2</v>
      </c>
      <c r="R97" s="431">
        <f t="shared" si="19"/>
        <v>1.09E-2</v>
      </c>
      <c r="S97" s="554"/>
      <c r="T97" s="555"/>
    </row>
    <row r="98" spans="1:20">
      <c r="A98" s="60" t="s">
        <v>174</v>
      </c>
      <c r="B98" s="72" t="s">
        <v>112</v>
      </c>
      <c r="C98" s="306">
        <v>7.0000000000000007E-2</v>
      </c>
      <c r="D98" s="307">
        <v>0.46889999999999998</v>
      </c>
      <c r="E98" s="308">
        <v>0.6</v>
      </c>
      <c r="F98" s="308">
        <v>0.27900000000000003</v>
      </c>
      <c r="G98" s="325">
        <v>2014</v>
      </c>
      <c r="H98" s="326" t="str">
        <f>VLOOKUP($A98,$E$54:$F$57,2,FALSE)</f>
        <v>£m 09/10</v>
      </c>
      <c r="I98" s="323" t="s">
        <v>270</v>
      </c>
      <c r="J98" s="423" t="s">
        <v>484</v>
      </c>
      <c r="K98" s="433">
        <f t="shared" si="19"/>
        <v>2.92E-2</v>
      </c>
      <c r="L98" s="431">
        <f t="shared" si="19"/>
        <v>2.7199999999999998E-2</v>
      </c>
      <c r="M98" s="431">
        <f t="shared" si="19"/>
        <v>2.5499999999999998E-2</v>
      </c>
      <c r="N98" s="431">
        <f t="shared" si="19"/>
        <v>2.3800000000000002E-2</v>
      </c>
      <c r="O98" s="431">
        <f t="shared" si="19"/>
        <v>2.2200000000000001E-2</v>
      </c>
      <c r="P98" s="431">
        <f t="shared" si="19"/>
        <v>1.9099999999999999E-2</v>
      </c>
      <c r="Q98" s="431">
        <f t="shared" si="19"/>
        <v>1.5800000000000002E-2</v>
      </c>
      <c r="R98" s="431">
        <f t="shared" si="19"/>
        <v>1.09E-2</v>
      </c>
      <c r="S98" s="554"/>
      <c r="T98" s="555"/>
    </row>
    <row r="99" spans="1:20">
      <c r="A99" s="60" t="s">
        <v>174</v>
      </c>
      <c r="B99" s="72" t="s">
        <v>60</v>
      </c>
      <c r="C99" s="306">
        <v>7.0000000000000007E-2</v>
      </c>
      <c r="D99" s="307">
        <v>0.5</v>
      </c>
      <c r="E99" s="308">
        <v>0.55000000000000004</v>
      </c>
      <c r="F99" s="308">
        <v>0.9</v>
      </c>
      <c r="G99" s="325">
        <v>2014</v>
      </c>
      <c r="H99" s="326" t="str">
        <f>VLOOKUP($A99,$E$54:$F$57,2,FALSE)</f>
        <v>£m 09/10</v>
      </c>
      <c r="I99" s="323" t="s">
        <v>271</v>
      </c>
      <c r="J99" s="423" t="s">
        <v>484</v>
      </c>
      <c r="K99" s="433">
        <f t="shared" si="19"/>
        <v>2.92E-2</v>
      </c>
      <c r="L99" s="431">
        <f t="shared" si="19"/>
        <v>2.7199999999999998E-2</v>
      </c>
      <c r="M99" s="431">
        <f t="shared" si="19"/>
        <v>2.5499999999999998E-2</v>
      </c>
      <c r="N99" s="431">
        <f t="shared" si="19"/>
        <v>2.3800000000000002E-2</v>
      </c>
      <c r="O99" s="431">
        <f t="shared" si="19"/>
        <v>2.2200000000000001E-2</v>
      </c>
      <c r="P99" s="431">
        <f t="shared" si="19"/>
        <v>1.9099999999999999E-2</v>
      </c>
      <c r="Q99" s="431">
        <f t="shared" si="19"/>
        <v>1.5800000000000002E-2</v>
      </c>
      <c r="R99" s="431">
        <f t="shared" si="19"/>
        <v>1.09E-2</v>
      </c>
      <c r="S99" s="554"/>
      <c r="T99" s="555"/>
    </row>
    <row r="100" spans="1:20">
      <c r="A100" s="60" t="s">
        <v>174</v>
      </c>
      <c r="B100" s="73" t="s">
        <v>61</v>
      </c>
      <c r="C100" s="309">
        <v>7.0000000000000007E-2</v>
      </c>
      <c r="D100" s="310">
        <v>0.5</v>
      </c>
      <c r="E100" s="311">
        <v>0.55000000000000004</v>
      </c>
      <c r="F100" s="311">
        <v>0.9</v>
      </c>
      <c r="G100" s="327">
        <v>2014</v>
      </c>
      <c r="H100" s="328" t="str">
        <f>VLOOKUP($A100,$E$54:$F$57,2,FALSE)</f>
        <v>£m 09/10</v>
      </c>
      <c r="I100" s="324" t="s">
        <v>271</v>
      </c>
      <c r="J100" s="423" t="s">
        <v>484</v>
      </c>
      <c r="K100" s="434">
        <f t="shared" ref="K100:R100" si="20">C$65</f>
        <v>2.92E-2</v>
      </c>
      <c r="L100" s="432">
        <f t="shared" si="20"/>
        <v>2.5000000000000001E-2</v>
      </c>
      <c r="M100" s="432">
        <f t="shared" si="20"/>
        <v>2.1499999999999998E-2</v>
      </c>
      <c r="N100" s="432">
        <f t="shared" si="20"/>
        <v>1.7899999999999999E-2</v>
      </c>
      <c r="O100" s="432">
        <f t="shared" si="20"/>
        <v>1.5100000000000001E-2</v>
      </c>
      <c r="P100" s="432">
        <f t="shared" si="20"/>
        <v>1.1599999999999999E-2</v>
      </c>
      <c r="Q100" s="432">
        <f t="shared" si="20"/>
        <v>1.0200000000000001E-2</v>
      </c>
      <c r="R100" s="432">
        <f t="shared" si="20"/>
        <v>8.3000000000000001E-3</v>
      </c>
      <c r="S100" s="556"/>
      <c r="T100" s="557"/>
    </row>
    <row r="101" spans="1:20">
      <c r="I101" s="67"/>
    </row>
    <row r="102" spans="1:20">
      <c r="I102" s="67"/>
    </row>
    <row r="103" spans="1:20">
      <c r="I103" s="67"/>
    </row>
    <row r="104" spans="1:20">
      <c r="B104" s="14" t="s">
        <v>250</v>
      </c>
      <c r="D104" s="297"/>
      <c r="E104" s="297"/>
      <c r="F104" s="297"/>
      <c r="G104" s="297"/>
      <c r="H104" s="297"/>
      <c r="I104" s="297"/>
      <c r="J104" s="297"/>
    </row>
    <row r="105" spans="1:20">
      <c r="B105" s="14"/>
      <c r="C105" s="116">
        <v>2014</v>
      </c>
      <c r="D105" s="117">
        <f>C105+1</f>
        <v>2015</v>
      </c>
      <c r="E105" s="117">
        <f t="shared" ref="E105:J105" si="21">D105+1</f>
        <v>2016</v>
      </c>
      <c r="F105" s="117">
        <f>E105+1</f>
        <v>2017</v>
      </c>
      <c r="G105" s="117">
        <f t="shared" si="21"/>
        <v>2018</v>
      </c>
      <c r="H105" s="117">
        <f t="shared" si="21"/>
        <v>2019</v>
      </c>
      <c r="I105" s="117">
        <f t="shared" si="21"/>
        <v>2020</v>
      </c>
      <c r="J105" s="117">
        <f t="shared" si="21"/>
        <v>2021</v>
      </c>
    </row>
    <row r="106" spans="1:20">
      <c r="B106" s="301" t="s">
        <v>53</v>
      </c>
      <c r="C106" s="298">
        <v>0.5</v>
      </c>
      <c r="D106" s="298">
        <v>0.5714285714285714</v>
      </c>
      <c r="E106" s="298">
        <v>0.64285714285714279</v>
      </c>
      <c r="F106" s="298">
        <v>0.71428571428571419</v>
      </c>
      <c r="G106" s="298">
        <v>0.78571428571428559</v>
      </c>
      <c r="H106" s="298">
        <v>0.85714285714285698</v>
      </c>
      <c r="I106" s="298">
        <v>0.92857142857142838</v>
      </c>
      <c r="J106" s="299">
        <v>1</v>
      </c>
    </row>
    <row r="107" spans="1:20">
      <c r="B107" s="302" t="s">
        <v>54</v>
      </c>
      <c r="C107" s="218">
        <v>0.5</v>
      </c>
      <c r="D107" s="218">
        <v>0.5714285714285714</v>
      </c>
      <c r="E107" s="218">
        <v>0.64285714285714279</v>
      </c>
      <c r="F107" s="218">
        <v>0.71428571428571419</v>
      </c>
      <c r="G107" s="218">
        <v>0.78571428571428559</v>
      </c>
      <c r="H107" s="218">
        <v>0.85714285714285698</v>
      </c>
      <c r="I107" s="218">
        <v>0.92857142857142838</v>
      </c>
      <c r="J107" s="219">
        <v>1</v>
      </c>
    </row>
    <row r="108" spans="1:20">
      <c r="B108" s="302" t="s">
        <v>55</v>
      </c>
      <c r="C108" s="218">
        <v>0.5</v>
      </c>
      <c r="D108" s="218">
        <v>0.5714285714285714</v>
      </c>
      <c r="E108" s="218">
        <v>0.64285714285714279</v>
      </c>
      <c r="F108" s="218">
        <v>0.71428571428571419</v>
      </c>
      <c r="G108" s="218">
        <v>0.78571428571428559</v>
      </c>
      <c r="H108" s="218">
        <v>0.85714285714285698</v>
      </c>
      <c r="I108" s="218">
        <v>0.92857142857142838</v>
      </c>
      <c r="J108" s="219">
        <v>1</v>
      </c>
    </row>
    <row r="109" spans="1:20">
      <c r="B109" s="302" t="s">
        <v>56</v>
      </c>
      <c r="C109" s="218">
        <v>0.5</v>
      </c>
      <c r="D109" s="218">
        <v>0.5714285714285714</v>
      </c>
      <c r="E109" s="218">
        <v>0.64285714285714279</v>
      </c>
      <c r="F109" s="218">
        <v>0.71428571428571419</v>
      </c>
      <c r="G109" s="218">
        <v>0.78571428571428559</v>
      </c>
      <c r="H109" s="218">
        <v>0.85714285714285698</v>
      </c>
      <c r="I109" s="218">
        <v>0.92857142857142838</v>
      </c>
      <c r="J109" s="219">
        <v>1</v>
      </c>
    </row>
    <row r="110" spans="1:20">
      <c r="B110" s="302" t="s">
        <v>50</v>
      </c>
      <c r="C110" s="218">
        <v>0.5</v>
      </c>
      <c r="D110" s="218">
        <v>0.5714285714285714</v>
      </c>
      <c r="E110" s="218">
        <v>0.64285714285714279</v>
      </c>
      <c r="F110" s="218">
        <v>0.71428571428571419</v>
      </c>
      <c r="G110" s="218">
        <v>0.78571428571428559</v>
      </c>
      <c r="H110" s="218">
        <v>0.85714285714285698</v>
      </c>
      <c r="I110" s="218">
        <v>0.92857142857142838</v>
      </c>
      <c r="J110" s="219">
        <v>1</v>
      </c>
    </row>
    <row r="111" spans="1:20">
      <c r="B111" s="302" t="s">
        <v>52</v>
      </c>
      <c r="C111" s="218">
        <v>0.5</v>
      </c>
      <c r="D111" s="218">
        <v>0.5714285714285714</v>
      </c>
      <c r="E111" s="218">
        <v>0.64285714285714279</v>
      </c>
      <c r="F111" s="218">
        <v>0.71428571428571419</v>
      </c>
      <c r="G111" s="218">
        <v>0.78571428571428559</v>
      </c>
      <c r="H111" s="218">
        <v>0.85714285714285698</v>
      </c>
      <c r="I111" s="218">
        <v>0.92857142857142838</v>
      </c>
      <c r="J111" s="219">
        <v>1</v>
      </c>
    </row>
    <row r="112" spans="1:20">
      <c r="B112" s="302" t="s">
        <v>51</v>
      </c>
      <c r="C112" s="218">
        <v>0.5</v>
      </c>
      <c r="D112" s="218">
        <v>0.5714285714285714</v>
      </c>
      <c r="E112" s="218">
        <v>0.64285714285714279</v>
      </c>
      <c r="F112" s="218">
        <v>0.71428571428571419</v>
      </c>
      <c r="G112" s="218">
        <v>0.78571428571428559</v>
      </c>
      <c r="H112" s="218">
        <v>0.85714285714285698</v>
      </c>
      <c r="I112" s="218">
        <v>0.92857142857142838</v>
      </c>
      <c r="J112" s="219">
        <v>1</v>
      </c>
    </row>
    <row r="113" spans="2:15">
      <c r="B113" s="416" t="s">
        <v>49</v>
      </c>
      <c r="C113" s="417">
        <v>0.5</v>
      </c>
      <c r="D113" s="417">
        <v>0.5714285714285714</v>
      </c>
      <c r="E113" s="417">
        <v>0.64285714285714279</v>
      </c>
      <c r="F113" s="417">
        <v>0.71428571428571419</v>
      </c>
      <c r="G113" s="417">
        <v>0.78571428571428559</v>
      </c>
      <c r="H113" s="417">
        <v>0.85714285714285698</v>
      </c>
      <c r="I113" s="417">
        <v>0.92857142857142838</v>
      </c>
      <c r="J113" s="418">
        <v>1</v>
      </c>
    </row>
    <row r="114" spans="2:15">
      <c r="B114" s="302" t="s">
        <v>113</v>
      </c>
      <c r="C114" s="218">
        <v>0.9</v>
      </c>
      <c r="D114" s="218">
        <v>0.9</v>
      </c>
      <c r="E114" s="218">
        <v>0.9</v>
      </c>
      <c r="F114" s="218">
        <v>0.9</v>
      </c>
      <c r="G114" s="218">
        <v>0.9</v>
      </c>
      <c r="H114" s="218">
        <v>0.9</v>
      </c>
      <c r="I114" s="218">
        <v>0.9</v>
      </c>
      <c r="J114" s="219">
        <v>0.9</v>
      </c>
    </row>
    <row r="115" spans="2:15">
      <c r="B115" s="303" t="s">
        <v>114</v>
      </c>
      <c r="C115" s="561"/>
      <c r="D115" s="561"/>
      <c r="E115" s="561"/>
      <c r="F115" s="561"/>
      <c r="G115" s="561"/>
      <c r="H115" s="561"/>
      <c r="I115" s="561"/>
      <c r="J115" s="561"/>
    </row>
    <row r="116" spans="2:15">
      <c r="B116" s="398"/>
      <c r="C116" s="457"/>
      <c r="D116" s="457"/>
      <c r="E116" s="457"/>
      <c r="F116" s="457"/>
      <c r="G116" s="457"/>
      <c r="H116" s="457"/>
      <c r="I116" s="457"/>
      <c r="J116" s="457"/>
      <c r="M116" s="31"/>
      <c r="N116" s="31"/>
      <c r="O116" s="31"/>
    </row>
    <row r="117" spans="2:15">
      <c r="B117" s="398"/>
      <c r="C117" s="457"/>
      <c r="D117" s="457"/>
      <c r="E117" s="457"/>
      <c r="F117" s="457"/>
      <c r="G117" s="457"/>
      <c r="H117" s="457"/>
      <c r="I117" s="457"/>
      <c r="J117" s="457"/>
      <c r="K117" s="364"/>
      <c r="L117" s="364"/>
      <c r="M117" s="31"/>
      <c r="N117" s="31"/>
      <c r="O117" s="31"/>
    </row>
    <row r="118" spans="2:15">
      <c r="B118" s="467" t="s">
        <v>214</v>
      </c>
      <c r="C118" s="116">
        <v>2014</v>
      </c>
      <c r="D118" s="117">
        <f t="shared" ref="D118:L118" si="22">C118+1</f>
        <v>2015</v>
      </c>
      <c r="E118" s="117">
        <f t="shared" si="22"/>
        <v>2016</v>
      </c>
      <c r="F118" s="117">
        <f t="shared" si="22"/>
        <v>2017</v>
      </c>
      <c r="G118" s="117">
        <f t="shared" si="22"/>
        <v>2018</v>
      </c>
      <c r="H118" s="117">
        <f t="shared" si="22"/>
        <v>2019</v>
      </c>
      <c r="I118" s="117">
        <f t="shared" si="22"/>
        <v>2020</v>
      </c>
      <c r="J118" s="117">
        <f t="shared" si="22"/>
        <v>2021</v>
      </c>
      <c r="K118" s="117">
        <f t="shared" si="22"/>
        <v>2022</v>
      </c>
      <c r="L118" s="194">
        <f t="shared" si="22"/>
        <v>2023</v>
      </c>
      <c r="M118" s="31"/>
      <c r="N118" s="31"/>
      <c r="O118" s="31"/>
    </row>
    <row r="119" spans="2:15">
      <c r="B119" s="458" t="s">
        <v>43</v>
      </c>
      <c r="C119" s="558"/>
      <c r="D119" s="559"/>
      <c r="E119" s="460">
        <v>1.5575632164737283</v>
      </c>
      <c r="F119" s="460">
        <v>1.4734141240658321</v>
      </c>
      <c r="G119" s="460">
        <v>1.4689588897025405</v>
      </c>
      <c r="H119" s="460">
        <v>1.4707200530126929</v>
      </c>
      <c r="I119" s="460">
        <v>1.4674716260161711</v>
      </c>
      <c r="J119" s="460">
        <v>1.4486206224386007</v>
      </c>
      <c r="K119" s="460">
        <v>1.4956798325868756</v>
      </c>
      <c r="L119" s="461">
        <v>1.4397148718051931</v>
      </c>
      <c r="M119" s="31"/>
      <c r="N119" s="31"/>
      <c r="O119" s="31"/>
    </row>
    <row r="120" spans="2:15">
      <c r="B120" s="458" t="s">
        <v>44</v>
      </c>
      <c r="C120" s="560"/>
      <c r="D120" s="561"/>
      <c r="E120" s="462">
        <v>-0.65871781800535345</v>
      </c>
      <c r="F120" s="462">
        <v>-0.63543772576063684</v>
      </c>
      <c r="G120" s="462">
        <v>-0.58907862874233818</v>
      </c>
      <c r="H120" s="462">
        <v>-0.58178188190178026</v>
      </c>
      <c r="I120" s="462">
        <v>-0.56823918867341305</v>
      </c>
      <c r="J120" s="462">
        <v>-0.51933170333654122</v>
      </c>
      <c r="K120" s="462">
        <v>-0.47962665852661612</v>
      </c>
      <c r="L120" s="463">
        <v>-0.4656874701170608</v>
      </c>
      <c r="M120" s="31"/>
      <c r="N120" s="31"/>
      <c r="O120" s="31"/>
    </row>
    <row r="121" spans="2:15">
      <c r="B121" s="458" t="s">
        <v>73</v>
      </c>
      <c r="C121" s="560"/>
      <c r="D121" s="561"/>
      <c r="E121" s="462">
        <v>-0.86626036283610952</v>
      </c>
      <c r="F121" s="462">
        <v>-0.81019773780890636</v>
      </c>
      <c r="G121" s="462">
        <v>-0.78919084241395188</v>
      </c>
      <c r="H121" s="462">
        <v>-0.79061873066036981</v>
      </c>
      <c r="I121" s="462">
        <v>-0.74432653414361061</v>
      </c>
      <c r="J121" s="462">
        <v>-0.70697274816976396</v>
      </c>
      <c r="K121" s="462">
        <v>-0.65350946162011747</v>
      </c>
      <c r="L121" s="463">
        <v>-0.66429758885743451</v>
      </c>
      <c r="M121" s="31"/>
      <c r="N121" s="31"/>
      <c r="O121" s="31"/>
    </row>
    <row r="122" spans="2:15">
      <c r="B122" s="458" t="s">
        <v>59</v>
      </c>
      <c r="C122" s="560"/>
      <c r="D122" s="561"/>
      <c r="E122" s="462">
        <v>-3.2612134183503572</v>
      </c>
      <c r="F122" s="462">
        <v>-3.3462554451402173</v>
      </c>
      <c r="G122" s="462">
        <v>-3.1732919768141143</v>
      </c>
      <c r="H122" s="462">
        <v>-3.1232404745251841</v>
      </c>
      <c r="I122" s="462">
        <v>-3.0767551306224106</v>
      </c>
      <c r="J122" s="462">
        <v>-2.9342177182087767</v>
      </c>
      <c r="K122" s="462">
        <v>-2.8825938479182072</v>
      </c>
      <c r="L122" s="463">
        <v>-2.7237011003750218</v>
      </c>
      <c r="M122" s="31"/>
      <c r="N122" s="31"/>
      <c r="O122" s="31"/>
    </row>
    <row r="123" spans="2:15">
      <c r="B123" s="458" t="s">
        <v>57</v>
      </c>
      <c r="C123" s="560"/>
      <c r="D123" s="561"/>
      <c r="E123" s="462">
        <v>-2.4260972367898193</v>
      </c>
      <c r="F123" s="462">
        <v>-2.3690383662844163</v>
      </c>
      <c r="G123" s="462">
        <v>-2.2433276600060932</v>
      </c>
      <c r="H123" s="462">
        <v>-2.1466020621213828</v>
      </c>
      <c r="I123" s="462">
        <v>-2.174009678716605</v>
      </c>
      <c r="J123" s="462">
        <v>-2.0538927838998693</v>
      </c>
      <c r="K123" s="462">
        <v>-1.9044581231060691</v>
      </c>
      <c r="L123" s="463">
        <v>-1.8008611131009082</v>
      </c>
      <c r="M123" s="31"/>
      <c r="N123" s="31"/>
      <c r="O123" s="31"/>
    </row>
    <row r="124" spans="2:15">
      <c r="B124" s="458" t="s">
        <v>58</v>
      </c>
      <c r="C124" s="560"/>
      <c r="D124" s="561"/>
      <c r="E124" s="462">
        <v>-2.1861012409352765</v>
      </c>
      <c r="F124" s="462">
        <v>-2.3820447425774849</v>
      </c>
      <c r="G124" s="462">
        <v>-2.2418672366929897</v>
      </c>
      <c r="H124" s="462">
        <v>-2.1147812646907029</v>
      </c>
      <c r="I124" s="462">
        <v>-2.0146177086326591</v>
      </c>
      <c r="J124" s="462">
        <v>-1.9421313262105093</v>
      </c>
      <c r="K124" s="462">
        <v>-1.9248856430948595</v>
      </c>
      <c r="L124" s="463">
        <v>-1.8464451304225615</v>
      </c>
      <c r="M124" s="31"/>
      <c r="N124" s="31"/>
      <c r="O124" s="31"/>
    </row>
    <row r="125" spans="2:15">
      <c r="B125" s="458" t="s">
        <v>45</v>
      </c>
      <c r="C125" s="560"/>
      <c r="D125" s="561"/>
      <c r="E125" s="462">
        <v>-1.8633532543800757</v>
      </c>
      <c r="F125" s="462">
        <v>-1.8182980405067262</v>
      </c>
      <c r="G125" s="462">
        <v>-1.83946756302578</v>
      </c>
      <c r="H125" s="462">
        <v>-1.7415973428180247</v>
      </c>
      <c r="I125" s="462">
        <v>-1.6798002111470465</v>
      </c>
      <c r="J125" s="462">
        <v>-1.5974456358596774</v>
      </c>
      <c r="K125" s="462">
        <v>-1.5016396120831343</v>
      </c>
      <c r="L125" s="463">
        <v>-1.4453638876860204</v>
      </c>
      <c r="M125" s="31"/>
      <c r="N125" s="31"/>
      <c r="O125" s="31"/>
    </row>
    <row r="126" spans="2:15">
      <c r="B126" s="458" t="s">
        <v>46</v>
      </c>
      <c r="C126" s="560"/>
      <c r="D126" s="561"/>
      <c r="E126" s="462">
        <v>-2.1317145269512103</v>
      </c>
      <c r="F126" s="462">
        <v>-2.193973633026753</v>
      </c>
      <c r="G126" s="462">
        <v>-1.9869010217130036</v>
      </c>
      <c r="H126" s="462">
        <v>-1.8037552784318813</v>
      </c>
      <c r="I126" s="462">
        <v>-1.7767942495618843</v>
      </c>
      <c r="J126" s="462">
        <v>-1.7901472583807538</v>
      </c>
      <c r="K126" s="462">
        <v>-1.6444113686346382</v>
      </c>
      <c r="L126" s="463">
        <v>-1.467384504290556</v>
      </c>
      <c r="M126" s="31"/>
      <c r="N126" s="31"/>
      <c r="O126" s="31"/>
    </row>
    <row r="127" spans="2:15">
      <c r="B127" s="458" t="s">
        <v>47</v>
      </c>
      <c r="C127" s="560"/>
      <c r="D127" s="561"/>
      <c r="E127" s="462">
        <v>0.16599721814464838</v>
      </c>
      <c r="F127" s="462">
        <v>0.16631900606776751</v>
      </c>
      <c r="G127" s="462">
        <v>0.16554337895881124</v>
      </c>
      <c r="H127" s="462">
        <v>0.16569741136821181</v>
      </c>
      <c r="I127" s="462">
        <v>0.16622630759870036</v>
      </c>
      <c r="J127" s="462">
        <v>0.16380302414374548</v>
      </c>
      <c r="K127" s="462">
        <v>0.16593344617950709</v>
      </c>
      <c r="L127" s="463">
        <v>0.16036688822048883</v>
      </c>
      <c r="M127" s="31"/>
      <c r="N127" s="31"/>
      <c r="O127" s="31"/>
    </row>
    <row r="128" spans="2:15">
      <c r="B128" s="458" t="s">
        <v>48</v>
      </c>
      <c r="C128" s="560"/>
      <c r="D128" s="561"/>
      <c r="E128" s="462">
        <v>0.3648271976377423</v>
      </c>
      <c r="F128" s="462">
        <v>0.37109083837102003</v>
      </c>
      <c r="G128" s="462">
        <v>0.36071859106606846</v>
      </c>
      <c r="H128" s="462">
        <v>0.35927814835295946</v>
      </c>
      <c r="I128" s="462">
        <v>0.3227419487574148</v>
      </c>
      <c r="J128" s="462">
        <v>0.32139075529498529</v>
      </c>
      <c r="K128" s="462">
        <v>0.32876178406363676</v>
      </c>
      <c r="L128" s="463">
        <v>0.31920430794598709</v>
      </c>
      <c r="M128" s="31"/>
      <c r="N128" s="31"/>
      <c r="O128" s="31"/>
    </row>
    <row r="129" spans="2:15">
      <c r="B129" s="458" t="s">
        <v>246</v>
      </c>
      <c r="C129" s="560"/>
      <c r="D129" s="561"/>
      <c r="E129" s="462">
        <v>7.1281196754416492</v>
      </c>
      <c r="F129" s="462">
        <v>6.9674138399666772</v>
      </c>
      <c r="G129" s="462">
        <v>6.2034025893135132</v>
      </c>
      <c r="H129" s="462">
        <v>6.3085978915797085</v>
      </c>
      <c r="I129" s="462">
        <v>6.2376648400128394</v>
      </c>
      <c r="J129" s="462">
        <v>6.4865819943041139</v>
      </c>
      <c r="K129" s="462">
        <v>6.8152516624832584</v>
      </c>
      <c r="L129" s="463">
        <v>6.6271056201039169</v>
      </c>
      <c r="M129" s="31"/>
      <c r="N129" s="31"/>
      <c r="O129" s="31"/>
    </row>
    <row r="130" spans="2:15">
      <c r="B130" s="458" t="s">
        <v>247</v>
      </c>
      <c r="C130" s="560"/>
      <c r="D130" s="561"/>
      <c r="E130" s="462">
        <v>6.5079014730517413</v>
      </c>
      <c r="F130" s="462">
        <v>6.5166167406950333</v>
      </c>
      <c r="G130" s="462">
        <v>6.3292456496722922</v>
      </c>
      <c r="H130" s="462">
        <v>6.4407397408462082</v>
      </c>
      <c r="I130" s="462">
        <v>6.6367331985058957</v>
      </c>
      <c r="J130" s="462">
        <v>6.7568163761394304</v>
      </c>
      <c r="K130" s="462">
        <v>6.6961234445143969</v>
      </c>
      <c r="L130" s="463">
        <v>6.7647427548792596</v>
      </c>
      <c r="M130" s="31"/>
      <c r="N130" s="31"/>
      <c r="O130" s="31"/>
    </row>
    <row r="131" spans="2:15">
      <c r="B131" s="458" t="s">
        <v>248</v>
      </c>
      <c r="C131" s="560"/>
      <c r="D131" s="561"/>
      <c r="E131" s="462">
        <v>3.6763138465229663</v>
      </c>
      <c r="F131" s="462">
        <v>3.6748350873956013</v>
      </c>
      <c r="G131" s="462">
        <v>3.4998529635433906</v>
      </c>
      <c r="H131" s="462">
        <v>3.724685546648324</v>
      </c>
      <c r="I131" s="462">
        <v>3.4121739487309477</v>
      </c>
      <c r="J131" s="462">
        <v>3.4202241027689042</v>
      </c>
      <c r="K131" s="462">
        <v>3.3053549439575329</v>
      </c>
      <c r="L131" s="463">
        <v>3.3633285641010966</v>
      </c>
      <c r="M131" s="31"/>
      <c r="N131" s="31"/>
      <c r="O131" s="31"/>
    </row>
    <row r="132" spans="2:15">
      <c r="B132" s="458" t="s">
        <v>249</v>
      </c>
      <c r="C132" s="560"/>
      <c r="D132" s="561"/>
      <c r="E132" s="462">
        <v>5.3762701961708466</v>
      </c>
      <c r="F132" s="462">
        <v>5.3775969760840585</v>
      </c>
      <c r="G132" s="462">
        <v>5.2618102801807671</v>
      </c>
      <c r="H132" s="462">
        <v>5.360849180672294</v>
      </c>
      <c r="I132" s="462">
        <v>5.2665238228731912</v>
      </c>
      <c r="J132" s="462">
        <v>5.3271179030285305</v>
      </c>
      <c r="K132" s="462">
        <v>5.3223294006601192</v>
      </c>
      <c r="L132" s="463">
        <v>5.5699880746272257</v>
      </c>
      <c r="M132" s="31"/>
      <c r="N132" s="31"/>
      <c r="O132" s="31"/>
    </row>
    <row r="133" spans="2:15">
      <c r="B133" s="458" t="s">
        <v>53</v>
      </c>
      <c r="C133" s="464">
        <v>1.4371556068940596</v>
      </c>
      <c r="D133" s="462">
        <v>1.3718015630879741</v>
      </c>
      <c r="E133" s="462">
        <v>1.3507660107019517</v>
      </c>
      <c r="F133" s="462">
        <v>1.356812198977974</v>
      </c>
      <c r="G133" s="462">
        <v>1.3598136386487443</v>
      </c>
      <c r="H133" s="462">
        <v>1.3501475065962032</v>
      </c>
      <c r="I133" s="462">
        <v>1.3298433305384654</v>
      </c>
      <c r="J133" s="462">
        <v>1.3174540960763355</v>
      </c>
      <c r="K133" s="561"/>
      <c r="L133" s="562"/>
      <c r="M133" s="31"/>
      <c r="N133" s="31"/>
      <c r="O133" s="31"/>
    </row>
    <row r="134" spans="2:15">
      <c r="B134" s="458" t="s">
        <v>54</v>
      </c>
      <c r="C134" s="464">
        <v>1.2224510767557433</v>
      </c>
      <c r="D134" s="462">
        <v>1.2198157429394254</v>
      </c>
      <c r="E134" s="462">
        <v>1.2942164825881293</v>
      </c>
      <c r="F134" s="462">
        <v>1.2596396269108345</v>
      </c>
      <c r="G134" s="462">
        <v>1.2840112184368913</v>
      </c>
      <c r="H134" s="462">
        <v>1.2678511857965422</v>
      </c>
      <c r="I134" s="462">
        <v>1.2592019055105816</v>
      </c>
      <c r="J134" s="462">
        <v>1.257376658609527</v>
      </c>
      <c r="K134" s="561"/>
      <c r="L134" s="562"/>
      <c r="M134" s="31"/>
      <c r="N134" s="31"/>
      <c r="O134" s="31"/>
    </row>
    <row r="135" spans="2:15">
      <c r="B135" s="458" t="s">
        <v>55</v>
      </c>
      <c r="C135" s="464">
        <v>0.82325002294811445</v>
      </c>
      <c r="D135" s="462">
        <v>0.82663571281128501</v>
      </c>
      <c r="E135" s="462">
        <v>0.79640504595610451</v>
      </c>
      <c r="F135" s="462">
        <v>0.78757021450124798</v>
      </c>
      <c r="G135" s="462">
        <v>0.81133252861207505</v>
      </c>
      <c r="H135" s="462">
        <v>0.81064228783969072</v>
      </c>
      <c r="I135" s="462">
        <v>0.80900368952296353</v>
      </c>
      <c r="J135" s="462">
        <v>0.78043276967968189</v>
      </c>
      <c r="K135" s="561"/>
      <c r="L135" s="562"/>
      <c r="M135" s="31"/>
      <c r="N135" s="31"/>
      <c r="O135" s="31"/>
    </row>
    <row r="136" spans="2:15">
      <c r="B136" s="458" t="s">
        <v>56</v>
      </c>
      <c r="C136" s="464">
        <v>1.0893959849781105</v>
      </c>
      <c r="D136" s="462">
        <v>1.027913194554035</v>
      </c>
      <c r="E136" s="462">
        <v>1.0066987144123654</v>
      </c>
      <c r="F136" s="462">
        <v>1.0192350900597893</v>
      </c>
      <c r="G136" s="462">
        <v>1.0341480780318344</v>
      </c>
      <c r="H136" s="462">
        <v>1.0204240792759967</v>
      </c>
      <c r="I136" s="462">
        <v>1.0137739549704501</v>
      </c>
      <c r="J136" s="462">
        <v>0.9898055017218621</v>
      </c>
      <c r="K136" s="561"/>
      <c r="L136" s="562"/>
      <c r="M136" s="31"/>
      <c r="N136" s="31"/>
      <c r="O136" s="31"/>
    </row>
    <row r="137" spans="2:15">
      <c r="B137" s="458" t="s">
        <v>50</v>
      </c>
      <c r="C137" s="464">
        <v>3.0675250143183739</v>
      </c>
      <c r="D137" s="462">
        <v>3.1629219417602221</v>
      </c>
      <c r="E137" s="462">
        <v>3.2156604222069194</v>
      </c>
      <c r="F137" s="462">
        <v>3.1773534622131239</v>
      </c>
      <c r="G137" s="462">
        <v>2.9925267771957293</v>
      </c>
      <c r="H137" s="462">
        <v>2.9953978987575276</v>
      </c>
      <c r="I137" s="462">
        <v>3.008780645638939</v>
      </c>
      <c r="J137" s="462">
        <v>3.0035530345258876</v>
      </c>
      <c r="K137" s="561"/>
      <c r="L137" s="562"/>
      <c r="M137" s="31"/>
      <c r="N137" s="31"/>
      <c r="O137" s="31"/>
    </row>
    <row r="138" spans="2:15">
      <c r="B138" s="458" t="s">
        <v>52</v>
      </c>
      <c r="C138" s="464">
        <v>2.1240897362733717</v>
      </c>
      <c r="D138" s="462">
        <v>2.0350723340362249</v>
      </c>
      <c r="E138" s="462">
        <v>1.9686998072928457</v>
      </c>
      <c r="F138" s="462">
        <v>2.0858456765056492</v>
      </c>
      <c r="G138" s="462">
        <v>2.1150393198028121</v>
      </c>
      <c r="H138" s="462">
        <v>2.0960407823683633</v>
      </c>
      <c r="I138" s="462">
        <v>1.9709648894580449</v>
      </c>
      <c r="J138" s="462">
        <v>1.9558237270696361</v>
      </c>
      <c r="K138" s="561"/>
      <c r="L138" s="562"/>
      <c r="M138" s="31"/>
      <c r="N138" s="31"/>
      <c r="O138" s="31"/>
    </row>
    <row r="139" spans="2:15">
      <c r="B139" s="458" t="s">
        <v>51</v>
      </c>
      <c r="C139" s="464">
        <v>4.3724011747736116</v>
      </c>
      <c r="D139" s="462">
        <v>4.1057641662653896</v>
      </c>
      <c r="E139" s="462">
        <v>4.0545669929819539</v>
      </c>
      <c r="F139" s="462">
        <v>4.1740927460581894</v>
      </c>
      <c r="G139" s="462">
        <v>4.2397101975440528</v>
      </c>
      <c r="H139" s="462">
        <v>4.2461477210751069</v>
      </c>
      <c r="I139" s="462">
        <v>4.1078523076276792</v>
      </c>
      <c r="J139" s="462">
        <v>4.0575944965475035</v>
      </c>
      <c r="K139" s="561"/>
      <c r="L139" s="562"/>
      <c r="M139" s="31"/>
      <c r="N139" s="31"/>
      <c r="O139" s="31"/>
    </row>
    <row r="140" spans="2:15">
      <c r="B140" s="458" t="s">
        <v>49</v>
      </c>
      <c r="C140" s="464">
        <v>1.3982776671905828</v>
      </c>
      <c r="D140" s="462">
        <v>1.3864649866746799</v>
      </c>
      <c r="E140" s="462">
        <v>1.3673040530931269</v>
      </c>
      <c r="F140" s="462">
        <v>1.3493453776780693</v>
      </c>
      <c r="G140" s="462">
        <v>1.3347777856873293</v>
      </c>
      <c r="H140" s="462">
        <v>1.3354887108693174</v>
      </c>
      <c r="I140" s="462">
        <v>1.3597799661606067</v>
      </c>
      <c r="J140" s="462">
        <v>1.3515240072037848</v>
      </c>
      <c r="K140" s="561"/>
      <c r="L140" s="562"/>
      <c r="M140" s="31"/>
      <c r="N140" s="31"/>
      <c r="O140" s="31"/>
    </row>
    <row r="141" spans="2:15">
      <c r="B141" s="458" t="s">
        <v>113</v>
      </c>
      <c r="C141" s="464">
        <v>-1.1295718210052885</v>
      </c>
      <c r="D141" s="462">
        <v>-1.1444007312827333</v>
      </c>
      <c r="E141" s="462">
        <v>-1.1763817360750841</v>
      </c>
      <c r="F141" s="462">
        <v>-1.5927557463957547</v>
      </c>
      <c r="G141" s="462">
        <v>-1.8565667598967899</v>
      </c>
      <c r="H141" s="462">
        <v>-1.2720416735170972</v>
      </c>
      <c r="I141" s="462">
        <v>-1.1039739947823479</v>
      </c>
      <c r="J141" s="462">
        <v>-1.018311326547777</v>
      </c>
      <c r="K141" s="561"/>
      <c r="L141" s="562"/>
      <c r="M141" s="31"/>
      <c r="N141" s="31"/>
      <c r="O141" s="31"/>
    </row>
    <row r="142" spans="2:15">
      <c r="B142" s="458" t="s">
        <v>114</v>
      </c>
      <c r="C142" s="464">
        <v>-0.43181154987245485</v>
      </c>
      <c r="D142" s="462">
        <v>-0.39947195996305995</v>
      </c>
      <c r="E142" s="462">
        <v>-0.34734317043598018</v>
      </c>
      <c r="F142" s="462">
        <v>-0.3193206524905472</v>
      </c>
      <c r="G142" s="462">
        <v>-0.31265626882301373</v>
      </c>
      <c r="H142" s="462">
        <v>-0.30799379948941219</v>
      </c>
      <c r="I142" s="462">
        <v>-0.32570922921081308</v>
      </c>
      <c r="J142" s="462">
        <v>-0.31552026220892354</v>
      </c>
      <c r="K142" s="561"/>
      <c r="L142" s="562"/>
      <c r="M142" s="31"/>
      <c r="N142" s="31"/>
      <c r="O142" s="31"/>
    </row>
    <row r="143" spans="2:15">
      <c r="B143" s="458" t="s">
        <v>111</v>
      </c>
      <c r="C143" s="464">
        <v>15.168246288518162</v>
      </c>
      <c r="D143" s="462">
        <v>16.275110005972994</v>
      </c>
      <c r="E143" s="462">
        <v>15.614702904478012</v>
      </c>
      <c r="F143" s="462">
        <v>14.911674359737152</v>
      </c>
      <c r="G143" s="462">
        <v>13.033415757853545</v>
      </c>
      <c r="H143" s="462">
        <v>12.556067765830047</v>
      </c>
      <c r="I143" s="462">
        <v>11.285100906339711</v>
      </c>
      <c r="J143" s="462">
        <v>9.8268179419485548</v>
      </c>
      <c r="K143" s="561"/>
      <c r="L143" s="562"/>
      <c r="M143" s="31"/>
      <c r="N143" s="31"/>
      <c r="O143" s="31"/>
    </row>
    <row r="144" spans="2:15">
      <c r="B144" s="458" t="s">
        <v>112</v>
      </c>
      <c r="C144" s="464">
        <v>0.93219394583370063</v>
      </c>
      <c r="D144" s="462">
        <v>0.89969793099769957</v>
      </c>
      <c r="E144" s="462">
        <v>0.87783267686821997</v>
      </c>
      <c r="F144" s="462">
        <v>0.87232109317784756</v>
      </c>
      <c r="G144" s="462">
        <v>0.89875958568159287</v>
      </c>
      <c r="H144" s="462">
        <v>0.82801710222961222</v>
      </c>
      <c r="I144" s="462">
        <v>0.88417658562860901</v>
      </c>
      <c r="J144" s="462">
        <v>0.89982415652833247</v>
      </c>
      <c r="K144" s="561"/>
      <c r="L144" s="562"/>
      <c r="M144" s="31"/>
      <c r="N144" s="31"/>
      <c r="O144" s="31"/>
    </row>
    <row r="145" spans="1:15">
      <c r="B145" s="458" t="s">
        <v>60</v>
      </c>
      <c r="C145" s="464">
        <v>10.952751093909903</v>
      </c>
      <c r="D145" s="462">
        <v>1.3412683602121493</v>
      </c>
      <c r="E145" s="462">
        <v>22.190179414419269</v>
      </c>
      <c r="F145" s="462">
        <v>7.0488483253947072</v>
      </c>
      <c r="G145" s="462">
        <v>6.9020695692988534</v>
      </c>
      <c r="H145" s="462">
        <v>6.9425238085580094</v>
      </c>
      <c r="I145" s="462">
        <v>7.0785069781779111</v>
      </c>
      <c r="J145" s="462">
        <v>5.2688524500291916</v>
      </c>
      <c r="K145" s="561"/>
      <c r="L145" s="562"/>
      <c r="M145" s="31"/>
      <c r="N145" s="31"/>
      <c r="O145" s="31"/>
    </row>
    <row r="146" spans="1:15">
      <c r="B146" s="459" t="s">
        <v>61</v>
      </c>
      <c r="C146" s="465">
        <v>4.7850556060781999</v>
      </c>
      <c r="D146" s="466">
        <v>4.9736597194598335</v>
      </c>
      <c r="E146" s="466">
        <v>5.6988662496343032</v>
      </c>
      <c r="F146" s="466">
        <v>3.7921077312788807</v>
      </c>
      <c r="G146" s="466">
        <v>2.8512563802087829</v>
      </c>
      <c r="H146" s="466">
        <v>2.8799765245720623</v>
      </c>
      <c r="I146" s="466">
        <v>2.9074703511454074</v>
      </c>
      <c r="J146" s="466">
        <v>2.8191074376225309</v>
      </c>
      <c r="K146" s="563"/>
      <c r="L146" s="564"/>
      <c r="M146" s="31"/>
      <c r="N146" s="31"/>
      <c r="O146" s="31"/>
    </row>
    <row r="147" spans="1:15">
      <c r="B147" s="31"/>
      <c r="C147" s="31"/>
      <c r="D147" s="31"/>
      <c r="E147" s="31"/>
      <c r="F147" s="31"/>
      <c r="G147" s="31"/>
      <c r="H147" s="31"/>
      <c r="I147" s="31"/>
      <c r="J147" s="31"/>
      <c r="K147" s="31"/>
      <c r="L147" s="31"/>
      <c r="M147" s="31"/>
      <c r="N147" s="31"/>
      <c r="O147" s="31"/>
    </row>
    <row r="148" spans="1:15">
      <c r="B148" s="398"/>
      <c r="C148" s="364"/>
      <c r="D148" s="364"/>
      <c r="E148" s="364"/>
      <c r="F148" s="364"/>
      <c r="G148" s="364"/>
      <c r="H148" s="364"/>
      <c r="I148" s="364"/>
      <c r="J148" s="364"/>
      <c r="K148" s="31"/>
      <c r="L148" s="31"/>
      <c r="M148" s="31"/>
    </row>
    <row r="149" spans="1:15">
      <c r="B149" s="421" t="str">
        <f>LEFT('RFPR cover'!C6,2)</f>
        <v>ED</v>
      </c>
      <c r="C149" s="419"/>
      <c r="D149" s="419"/>
      <c r="E149" s="419"/>
      <c r="F149" s="419"/>
      <c r="G149" s="419"/>
      <c r="H149" s="419"/>
      <c r="I149" s="419"/>
      <c r="J149" s="419"/>
      <c r="K149" s="419"/>
      <c r="L149" s="420"/>
    </row>
    <row r="150" spans="1:15" ht="14.25" customHeight="1">
      <c r="A150" s="204"/>
      <c r="B150" s="455" t="s">
        <v>405</v>
      </c>
      <c r="C150" s="456"/>
      <c r="D150" s="456"/>
      <c r="E150" s="456"/>
      <c r="F150" s="454"/>
      <c r="G150" s="454"/>
      <c r="H150" s="454"/>
      <c r="I150" s="454"/>
      <c r="J150" s="454"/>
      <c r="K150" s="454"/>
      <c r="L150" s="454"/>
      <c r="M150" s="454"/>
      <c r="N150" s="454"/>
    </row>
    <row r="151" spans="1:15" s="31" customFormat="1" ht="14.25" customHeight="1">
      <c r="A151" s="793"/>
      <c r="B151" s="794"/>
      <c r="C151" s="795"/>
      <c r="D151" s="795"/>
      <c r="E151" s="795"/>
      <c r="F151" s="796"/>
      <c r="G151" s="796"/>
      <c r="H151" s="796"/>
      <c r="I151" s="796"/>
      <c r="J151" s="796"/>
      <c r="K151" s="796"/>
      <c r="L151" s="796"/>
      <c r="M151" s="796"/>
      <c r="N151" s="796"/>
    </row>
    <row r="152" spans="1:15">
      <c r="A152" s="202"/>
      <c r="B152" s="797" t="s">
        <v>411</v>
      </c>
      <c r="C152" s="205"/>
      <c r="D152" s="205"/>
      <c r="E152" s="798" t="b">
        <f>OR((LEFT('RFPR cover'!$C$6,2)=Data!F152),'RFPR cover'!$C$5=Data!F152)</f>
        <v>1</v>
      </c>
      <c r="F152" s="363" t="str">
        <f>B162</f>
        <v>ED</v>
      </c>
      <c r="G152" s="799"/>
    </row>
    <row r="153" spans="1:15">
      <c r="A153" s="202"/>
      <c r="B153" s="814" t="str">
        <f>CHOOSE(MATCH(TRUE,$E$152:$E$159,0),B163,B173,B183,E183,B193,E193,B203,E203)&amp;""</f>
        <v>Broad measure of customer service</v>
      </c>
      <c r="C153" s="205"/>
      <c r="D153" s="205"/>
      <c r="E153" s="800" t="b">
        <f>OR((LEFT('RFPR cover'!$C$6,2)=Data!F153),'RFPR cover'!$C$5=Data!F153)</f>
        <v>0</v>
      </c>
      <c r="F153" s="364" t="str">
        <f>B172</f>
        <v>GD</v>
      </c>
      <c r="G153" s="201"/>
    </row>
    <row r="154" spans="1:15">
      <c r="A154" s="202"/>
      <c r="B154" s="815" t="str">
        <f t="shared" ref="B154:B160" si="23">CHOOSE(MATCH(TRUE,$E$152:$E$159,0),B164,B174,B184,E184,B194,E194,B204,E204)&amp;""</f>
        <v>Interruptions-related quality of service</v>
      </c>
      <c r="C154" s="205"/>
      <c r="D154" s="205"/>
      <c r="E154" s="800" t="b">
        <f>OR((LEFT('RFPR cover'!$C$6,2)=Data!F154),'RFPR cover'!$C$5=Data!F154)</f>
        <v>0</v>
      </c>
      <c r="F154" s="813" t="str">
        <f>B182</f>
        <v>NGGT (TO)</v>
      </c>
      <c r="G154" s="201"/>
    </row>
    <row r="155" spans="1:15">
      <c r="A155" s="202"/>
      <c r="B155" s="815" t="str">
        <f t="shared" si="23"/>
        <v>Incentive on connections engagement</v>
      </c>
      <c r="C155" s="205"/>
      <c r="D155" s="205"/>
      <c r="E155" s="800" t="b">
        <f>OR((LEFT('RFPR cover'!$C$6,2)=Data!F155),'RFPR cover'!$C$5=Data!F155)</f>
        <v>0</v>
      </c>
      <c r="F155" s="801" t="str">
        <f>E182</f>
        <v>NGGT (SO)</v>
      </c>
      <c r="G155" s="201"/>
    </row>
    <row r="156" spans="1:15">
      <c r="A156" s="202"/>
      <c r="B156" s="815" t="str">
        <f t="shared" si="23"/>
        <v>Time to Connect Incentive</v>
      </c>
      <c r="C156" s="205"/>
      <c r="D156" s="205"/>
      <c r="E156" s="800" t="b">
        <f>OR((LEFT('RFPR cover'!$C$6,2)=Data!F156),'RFPR cover'!$C$5=Data!F156)</f>
        <v>0</v>
      </c>
      <c r="F156" s="801" t="str">
        <f>B192</f>
        <v>NGET (TO)</v>
      </c>
      <c r="G156" s="201"/>
    </row>
    <row r="157" spans="1:15">
      <c r="A157" s="202"/>
      <c r="B157" s="816" t="str">
        <f t="shared" si="23"/>
        <v>Losses discretionary reward scheme</v>
      </c>
      <c r="C157" s="205"/>
      <c r="D157" s="205"/>
      <c r="E157" s="800" t="b">
        <f>OR((LEFT('RFPR cover'!$C$6,2)=Data!F157),'RFPR cover'!$C$5=Data!F157)</f>
        <v>0</v>
      </c>
      <c r="F157" s="801" t="str">
        <f>E192</f>
        <v>NGET (SO)</v>
      </c>
      <c r="G157" s="201"/>
    </row>
    <row r="158" spans="1:15">
      <c r="A158" s="202"/>
      <c r="B158" s="816" t="str">
        <f t="shared" si="23"/>
        <v/>
      </c>
      <c r="C158" s="205"/>
      <c r="D158" s="205"/>
      <c r="E158" s="800" t="b">
        <f>OR((LEFT('RFPR cover'!$C$6,2)=Data!F158),'RFPR cover'!$C$5=Data!F158)</f>
        <v>0</v>
      </c>
      <c r="F158" s="801" t="str">
        <f>B202</f>
        <v>SPT</v>
      </c>
      <c r="G158" s="201"/>
    </row>
    <row r="159" spans="1:15">
      <c r="A159" s="202"/>
      <c r="B159" s="816" t="str">
        <f t="shared" si="23"/>
        <v/>
      </c>
      <c r="C159" s="205"/>
      <c r="D159" s="205"/>
      <c r="E159" s="802" t="b">
        <f>OR((LEFT('RFPR cover'!$C$6,2)=Data!F159),'RFPR cover'!$C$5=Data!F159)</f>
        <v>0</v>
      </c>
      <c r="F159" s="803" t="str">
        <f>E202</f>
        <v>SHET</v>
      </c>
      <c r="G159" s="296"/>
    </row>
    <row r="160" spans="1:15">
      <c r="A160" s="202"/>
      <c r="B160" s="205" t="str">
        <f t="shared" si="23"/>
        <v/>
      </c>
      <c r="C160" s="205"/>
      <c r="D160" s="205"/>
      <c r="E160" s="59"/>
      <c r="F160" s="801"/>
      <c r="G160" s="42"/>
    </row>
    <row r="161" spans="1:7">
      <c r="A161" s="202"/>
      <c r="B161" s="205"/>
      <c r="C161" s="205"/>
      <c r="D161" s="205"/>
      <c r="E161" s="59"/>
      <c r="F161" s="801"/>
      <c r="G161" s="42"/>
    </row>
    <row r="162" spans="1:7" ht="12" customHeight="1">
      <c r="A162" s="202"/>
      <c r="B162" s="981" t="s">
        <v>172</v>
      </c>
      <c r="C162" s="977"/>
      <c r="D162" s="205"/>
      <c r="E162" s="205"/>
    </row>
    <row r="163" spans="1:7">
      <c r="A163" s="202"/>
      <c r="B163" s="982" t="s">
        <v>406</v>
      </c>
      <c r="C163" s="983"/>
      <c r="D163" s="205"/>
      <c r="E163" s="205"/>
    </row>
    <row r="164" spans="1:7">
      <c r="A164" s="202"/>
      <c r="B164" s="982" t="s">
        <v>407</v>
      </c>
      <c r="C164" s="983"/>
      <c r="D164" s="205"/>
      <c r="E164" s="205"/>
    </row>
    <row r="165" spans="1:7">
      <c r="A165" s="202"/>
      <c r="B165" s="984" t="s">
        <v>408</v>
      </c>
      <c r="C165" s="985"/>
      <c r="D165" s="205"/>
      <c r="E165" s="205"/>
    </row>
    <row r="166" spans="1:7">
      <c r="A166" s="202"/>
      <c r="B166" s="984" t="s">
        <v>409</v>
      </c>
      <c r="C166" s="985"/>
      <c r="D166" s="205"/>
      <c r="E166" s="205"/>
    </row>
    <row r="167" spans="1:7">
      <c r="A167" s="202"/>
      <c r="B167" s="984" t="s">
        <v>410</v>
      </c>
      <c r="C167" s="985"/>
      <c r="D167" s="205"/>
      <c r="E167" s="205"/>
    </row>
    <row r="168" spans="1:7">
      <c r="A168" s="202"/>
      <c r="B168" s="984"/>
      <c r="C168" s="985"/>
      <c r="D168" s="205"/>
      <c r="E168" s="205"/>
    </row>
    <row r="169" spans="1:7">
      <c r="A169" s="202"/>
      <c r="B169" s="984"/>
      <c r="C169" s="985"/>
      <c r="D169" s="205"/>
      <c r="E169" s="205"/>
    </row>
    <row r="170" spans="1:7">
      <c r="A170" s="202"/>
      <c r="B170" s="205"/>
      <c r="C170" s="205"/>
      <c r="D170" s="205"/>
      <c r="E170" s="205"/>
    </row>
    <row r="171" spans="1:7">
      <c r="A171" s="202"/>
      <c r="B171" s="205"/>
      <c r="C171" s="205"/>
      <c r="D171" s="205"/>
      <c r="E171" s="205"/>
    </row>
    <row r="172" spans="1:7">
      <c r="A172" s="202"/>
      <c r="B172" s="981" t="s">
        <v>173</v>
      </c>
      <c r="C172" s="977"/>
      <c r="D172" s="205"/>
      <c r="E172" s="205"/>
    </row>
    <row r="173" spans="1:7" ht="12.75" customHeight="1">
      <c r="A173" s="202"/>
      <c r="B173" s="978" t="s">
        <v>223</v>
      </c>
      <c r="C173" s="980"/>
      <c r="D173" s="205"/>
      <c r="E173" s="205"/>
    </row>
    <row r="174" spans="1:7" ht="12.75" customHeight="1">
      <c r="A174" s="202"/>
      <c r="B174" s="972" t="s">
        <v>224</v>
      </c>
      <c r="C174" s="974"/>
      <c r="D174" s="205"/>
      <c r="E174" s="205"/>
    </row>
    <row r="175" spans="1:7" ht="12.75" customHeight="1">
      <c r="A175" s="202"/>
      <c r="B175" s="972" t="s">
        <v>225</v>
      </c>
      <c r="C175" s="974"/>
      <c r="D175" s="205"/>
      <c r="E175" s="205"/>
    </row>
    <row r="176" spans="1:7" ht="12.75" customHeight="1">
      <c r="A176" s="202"/>
      <c r="B176" s="972" t="s">
        <v>226</v>
      </c>
      <c r="C176" s="974"/>
      <c r="D176" s="205"/>
      <c r="E176" s="205"/>
    </row>
    <row r="177" spans="1:9" ht="12.75" customHeight="1">
      <c r="A177" s="202"/>
      <c r="B177" s="969" t="s">
        <v>308</v>
      </c>
      <c r="C177" s="971"/>
      <c r="D177" s="205"/>
      <c r="E177" s="205"/>
    </row>
    <row r="178" spans="1:9" ht="12.75" customHeight="1">
      <c r="A178" s="202"/>
      <c r="B178" s="969"/>
      <c r="C178" s="971"/>
      <c r="D178" s="205"/>
      <c r="E178" s="205"/>
    </row>
    <row r="179" spans="1:9" ht="12.75" customHeight="1">
      <c r="A179" s="202"/>
      <c r="B179" s="969"/>
      <c r="C179" s="971"/>
      <c r="D179" s="205"/>
      <c r="E179" s="205"/>
    </row>
    <row r="180" spans="1:9">
      <c r="A180" s="202"/>
      <c r="B180" s="205"/>
      <c r="C180" s="205"/>
      <c r="D180" s="205"/>
      <c r="E180" s="205"/>
    </row>
    <row r="181" spans="1:9">
      <c r="A181" s="202"/>
      <c r="B181" s="205"/>
      <c r="C181" s="205"/>
      <c r="D181" s="205"/>
      <c r="E181" s="205"/>
    </row>
    <row r="182" spans="1:9">
      <c r="A182" s="202"/>
      <c r="B182" s="975" t="str">
        <f>B95</f>
        <v>NGGT (TO)</v>
      </c>
      <c r="C182" s="1007"/>
      <c r="D182" s="205"/>
      <c r="E182" s="975" t="str">
        <f>B96</f>
        <v>NGGT (SO)</v>
      </c>
      <c r="F182" s="976"/>
      <c r="G182" s="976"/>
      <c r="H182" s="976"/>
      <c r="I182" s="977"/>
    </row>
    <row r="183" spans="1:9" ht="12.45" customHeight="1">
      <c r="A183" s="202"/>
      <c r="B183" s="978" t="s">
        <v>219</v>
      </c>
      <c r="C183" s="980"/>
      <c r="D183" s="205"/>
      <c r="E183" s="972" t="s">
        <v>558</v>
      </c>
      <c r="F183" s="973" t="s">
        <v>558</v>
      </c>
      <c r="G183" s="973" t="s">
        <v>558</v>
      </c>
      <c r="H183" s="973" t="s">
        <v>558</v>
      </c>
      <c r="I183" s="974" t="s">
        <v>558</v>
      </c>
    </row>
    <row r="184" spans="1:9" ht="12.45" customHeight="1">
      <c r="A184" s="202"/>
      <c r="B184" s="972" t="s">
        <v>227</v>
      </c>
      <c r="C184" s="974"/>
      <c r="D184" s="205"/>
      <c r="E184" s="972" t="s">
        <v>559</v>
      </c>
      <c r="F184" s="973" t="s">
        <v>559</v>
      </c>
      <c r="G184" s="973" t="s">
        <v>559</v>
      </c>
      <c r="H184" s="973" t="s">
        <v>559</v>
      </c>
      <c r="I184" s="974" t="s">
        <v>559</v>
      </c>
    </row>
    <row r="185" spans="1:9" ht="12.45" customHeight="1">
      <c r="A185" s="202"/>
      <c r="B185" s="972"/>
      <c r="C185" s="974"/>
      <c r="D185" s="205"/>
      <c r="E185" s="972" t="s">
        <v>560</v>
      </c>
      <c r="F185" s="973" t="s">
        <v>560</v>
      </c>
      <c r="G185" s="973" t="s">
        <v>560</v>
      </c>
      <c r="H185" s="973" t="s">
        <v>560</v>
      </c>
      <c r="I185" s="974" t="s">
        <v>560</v>
      </c>
    </row>
    <row r="186" spans="1:9" ht="12.45" customHeight="1">
      <c r="A186" s="202"/>
      <c r="B186" s="972"/>
      <c r="C186" s="974"/>
      <c r="D186" s="205"/>
      <c r="E186" s="972" t="s">
        <v>561</v>
      </c>
      <c r="F186" s="973" t="s">
        <v>561</v>
      </c>
      <c r="G186" s="973" t="s">
        <v>561</v>
      </c>
      <c r="H186" s="973" t="s">
        <v>561</v>
      </c>
      <c r="I186" s="974" t="s">
        <v>561</v>
      </c>
    </row>
    <row r="187" spans="1:9" ht="12.45" customHeight="1">
      <c r="A187" s="202"/>
      <c r="B187" s="969"/>
      <c r="C187" s="971"/>
      <c r="D187" s="205"/>
      <c r="E187" s="972" t="s">
        <v>562</v>
      </c>
      <c r="F187" s="973" t="s">
        <v>562</v>
      </c>
      <c r="G187" s="973" t="s">
        <v>562</v>
      </c>
      <c r="H187" s="973" t="s">
        <v>562</v>
      </c>
      <c r="I187" s="974" t="s">
        <v>562</v>
      </c>
    </row>
    <row r="188" spans="1:9" ht="12.45" customHeight="1">
      <c r="A188" s="202"/>
      <c r="B188" s="969"/>
      <c r="C188" s="971"/>
      <c r="D188" s="205"/>
      <c r="E188" s="972" t="s">
        <v>563</v>
      </c>
      <c r="F188" s="973" t="s">
        <v>563</v>
      </c>
      <c r="G188" s="973" t="s">
        <v>563</v>
      </c>
      <c r="H188" s="973" t="s">
        <v>563</v>
      </c>
      <c r="I188" s="974" t="s">
        <v>563</v>
      </c>
    </row>
    <row r="189" spans="1:9" ht="12.45" customHeight="1">
      <c r="A189" s="202"/>
      <c r="B189" s="969"/>
      <c r="C189" s="971"/>
      <c r="D189" s="205"/>
      <c r="E189" s="972" t="s">
        <v>564</v>
      </c>
      <c r="F189" s="973" t="s">
        <v>564</v>
      </c>
      <c r="G189" s="973" t="s">
        <v>564</v>
      </c>
      <c r="H189" s="973" t="s">
        <v>564</v>
      </c>
      <c r="I189" s="974" t="s">
        <v>564</v>
      </c>
    </row>
    <row r="190" spans="1:9">
      <c r="A190" s="202"/>
      <c r="B190" s="205"/>
      <c r="C190" s="205"/>
      <c r="D190" s="205"/>
      <c r="E190" s="205"/>
    </row>
    <row r="191" spans="1:9">
      <c r="A191" s="202"/>
      <c r="B191" s="205"/>
      <c r="C191" s="205"/>
      <c r="D191" s="205"/>
      <c r="E191" s="205"/>
    </row>
    <row r="192" spans="1:9">
      <c r="A192" s="202"/>
      <c r="B192" s="975" t="str">
        <f>B97</f>
        <v>NGET (TO)</v>
      </c>
      <c r="C192" s="1007"/>
      <c r="D192" s="205"/>
      <c r="E192" s="975" t="str">
        <f>B98</f>
        <v>NGET (SO)</v>
      </c>
      <c r="F192" s="976"/>
      <c r="G192" s="976"/>
      <c r="H192" s="976"/>
      <c r="I192" s="977"/>
    </row>
    <row r="193" spans="1:9" ht="12.75" customHeight="1">
      <c r="A193" s="202"/>
      <c r="B193" s="978" t="s">
        <v>218</v>
      </c>
      <c r="C193" s="980"/>
      <c r="D193" s="205"/>
      <c r="E193" s="972" t="s">
        <v>565</v>
      </c>
      <c r="F193" s="973" t="s">
        <v>565</v>
      </c>
      <c r="G193" s="973" t="s">
        <v>565</v>
      </c>
      <c r="H193" s="973" t="s">
        <v>565</v>
      </c>
      <c r="I193" s="974" t="s">
        <v>565</v>
      </c>
    </row>
    <row r="194" spans="1:9" ht="12.75" customHeight="1">
      <c r="A194" s="202"/>
      <c r="B194" s="972" t="s">
        <v>219</v>
      </c>
      <c r="C194" s="974"/>
      <c r="D194" s="205"/>
      <c r="E194" s="972" t="s">
        <v>566</v>
      </c>
      <c r="F194" s="973" t="s">
        <v>566</v>
      </c>
      <c r="G194" s="973" t="s">
        <v>566</v>
      </c>
      <c r="H194" s="973" t="s">
        <v>566</v>
      </c>
      <c r="I194" s="974" t="s">
        <v>566</v>
      </c>
    </row>
    <row r="195" spans="1:9" ht="12.75" customHeight="1">
      <c r="A195" s="202"/>
      <c r="B195" s="972" t="s">
        <v>220</v>
      </c>
      <c r="C195" s="974"/>
      <c r="D195" s="205"/>
      <c r="E195" s="972" t="s">
        <v>567</v>
      </c>
      <c r="F195" s="973" t="s">
        <v>567</v>
      </c>
      <c r="G195" s="973" t="s">
        <v>567</v>
      </c>
      <c r="H195" s="973" t="s">
        <v>567</v>
      </c>
      <c r="I195" s="974" t="s">
        <v>567</v>
      </c>
    </row>
    <row r="196" spans="1:9" ht="12.75" customHeight="1">
      <c r="A196" s="202"/>
      <c r="B196" s="972" t="s">
        <v>221</v>
      </c>
      <c r="C196" s="974"/>
      <c r="D196" s="205"/>
      <c r="E196" s="972"/>
      <c r="F196" s="973"/>
      <c r="G196" s="973"/>
      <c r="H196" s="973"/>
      <c r="I196" s="974"/>
    </row>
    <row r="197" spans="1:9" ht="12.75" customHeight="1">
      <c r="A197" s="202"/>
      <c r="B197" s="969"/>
      <c r="C197" s="971"/>
      <c r="D197" s="205"/>
      <c r="E197" s="969"/>
      <c r="F197" s="970"/>
      <c r="G197" s="970"/>
      <c r="H197" s="970"/>
      <c r="I197" s="971"/>
    </row>
    <row r="198" spans="1:9" ht="12.75" customHeight="1">
      <c r="A198" s="202"/>
      <c r="B198" s="969"/>
      <c r="C198" s="971"/>
      <c r="D198" s="205"/>
      <c r="E198" s="969"/>
      <c r="F198" s="970"/>
      <c r="G198" s="970"/>
      <c r="H198" s="970"/>
      <c r="I198" s="971"/>
    </row>
    <row r="199" spans="1:9" ht="12.75" customHeight="1">
      <c r="A199" s="202"/>
      <c r="B199" s="969"/>
      <c r="C199" s="971"/>
      <c r="D199" s="205"/>
      <c r="E199" s="969"/>
      <c r="F199" s="970"/>
      <c r="G199" s="970"/>
      <c r="H199" s="970"/>
      <c r="I199" s="971"/>
    </row>
    <row r="200" spans="1:9" s="31" customFormat="1" ht="12.75" customHeight="1">
      <c r="A200" s="790"/>
      <c r="B200" s="790"/>
      <c r="C200" s="790"/>
      <c r="D200" s="791"/>
      <c r="E200" s="792"/>
      <c r="F200" s="792"/>
      <c r="G200" s="792"/>
      <c r="H200" s="792"/>
      <c r="I200" s="792"/>
    </row>
    <row r="201" spans="1:9" s="31" customFormat="1" ht="12.75" customHeight="1">
      <c r="A201" s="790"/>
      <c r="B201" s="790"/>
      <c r="C201" s="790"/>
      <c r="D201" s="791"/>
      <c r="E201" s="792"/>
      <c r="F201" s="792"/>
      <c r="G201" s="792"/>
      <c r="H201" s="792"/>
      <c r="I201" s="792"/>
    </row>
    <row r="202" spans="1:9">
      <c r="A202" s="202"/>
      <c r="B202" s="975" t="str">
        <f>B145</f>
        <v>SPT</v>
      </c>
      <c r="C202" s="1007"/>
      <c r="D202" s="205"/>
      <c r="E202" s="975" t="str">
        <f>B100</f>
        <v>SHET</v>
      </c>
      <c r="F202" s="976"/>
      <c r="G202" s="976"/>
      <c r="H202" s="976"/>
      <c r="I202" s="977"/>
    </row>
    <row r="203" spans="1:9" ht="12.75" customHeight="1">
      <c r="A203" s="202"/>
      <c r="B203" s="978" t="s">
        <v>218</v>
      </c>
      <c r="C203" s="980"/>
      <c r="D203" s="205"/>
      <c r="E203" s="978" t="s">
        <v>218</v>
      </c>
      <c r="F203" s="979"/>
      <c r="G203" s="979"/>
      <c r="H203" s="979"/>
      <c r="I203" s="980"/>
    </row>
    <row r="204" spans="1:9" ht="12.75" customHeight="1">
      <c r="A204" s="202"/>
      <c r="B204" s="972" t="s">
        <v>219</v>
      </c>
      <c r="C204" s="974"/>
      <c r="D204" s="205"/>
      <c r="E204" s="972" t="s">
        <v>219</v>
      </c>
      <c r="F204" s="973"/>
      <c r="G204" s="973"/>
      <c r="H204" s="973"/>
      <c r="I204" s="974"/>
    </row>
    <row r="205" spans="1:9" ht="12.75" customHeight="1">
      <c r="A205" s="202"/>
      <c r="B205" s="972" t="s">
        <v>220</v>
      </c>
      <c r="C205" s="974"/>
      <c r="D205" s="205"/>
      <c r="E205" s="972" t="s">
        <v>220</v>
      </c>
      <c r="F205" s="973"/>
      <c r="G205" s="973"/>
      <c r="H205" s="973"/>
      <c r="I205" s="974"/>
    </row>
    <row r="206" spans="1:9" ht="12.75" customHeight="1">
      <c r="A206" s="202"/>
      <c r="B206" s="972" t="s">
        <v>221</v>
      </c>
      <c r="C206" s="974"/>
      <c r="D206" s="205"/>
      <c r="E206" s="972" t="s">
        <v>221</v>
      </c>
      <c r="F206" s="973"/>
      <c r="G206" s="973"/>
      <c r="H206" s="973"/>
      <c r="I206" s="974"/>
    </row>
    <row r="207" spans="1:9" ht="12.75" customHeight="1">
      <c r="A207" s="202"/>
      <c r="B207" s="969" t="s">
        <v>222</v>
      </c>
      <c r="C207" s="971"/>
      <c r="D207" s="205"/>
      <c r="E207" s="969" t="s">
        <v>222</v>
      </c>
      <c r="F207" s="970"/>
      <c r="G207" s="970"/>
      <c r="H207" s="970"/>
      <c r="I207" s="971"/>
    </row>
    <row r="208" spans="1:9" ht="12.75" customHeight="1">
      <c r="A208" s="202"/>
      <c r="B208" s="969"/>
      <c r="C208" s="971"/>
      <c r="D208" s="205"/>
      <c r="E208" s="969"/>
      <c r="F208" s="970"/>
      <c r="G208" s="970"/>
      <c r="H208" s="970"/>
      <c r="I208" s="971"/>
    </row>
    <row r="209" spans="1:14" ht="12.75" customHeight="1">
      <c r="A209" s="202"/>
      <c r="B209" s="969"/>
      <c r="C209" s="971"/>
      <c r="D209" s="205"/>
      <c r="E209" s="969"/>
      <c r="F209" s="970"/>
      <c r="G209" s="970"/>
      <c r="H209" s="970"/>
      <c r="I209" s="971"/>
    </row>
    <row r="210" spans="1:14">
      <c r="A210" s="202"/>
      <c r="D210" s="205"/>
      <c r="E210" s="205"/>
    </row>
    <row r="211" spans="1:14">
      <c r="A211" s="202"/>
      <c r="D211" s="205"/>
      <c r="E211" s="205"/>
    </row>
    <row r="212" spans="1:14" ht="12.75" customHeight="1">
      <c r="A212" s="202"/>
      <c r="B212" s="1006" t="s">
        <v>240</v>
      </c>
      <c r="C212" s="1006"/>
      <c r="D212" s="1006"/>
      <c r="E212" s="284"/>
      <c r="F212" s="216"/>
      <c r="G212" s="216"/>
      <c r="H212" s="216"/>
      <c r="I212" s="216"/>
      <c r="J212" s="216"/>
      <c r="K212" s="216"/>
      <c r="L212" s="216"/>
      <c r="M212" s="216"/>
      <c r="N212" s="216"/>
    </row>
    <row r="213" spans="1:14">
      <c r="A213" s="202"/>
      <c r="B213" s="205"/>
      <c r="C213" s="205"/>
      <c r="D213" s="205"/>
      <c r="E213" s="205"/>
    </row>
    <row r="214" spans="1:14" ht="25.2">
      <c r="A214" s="202"/>
      <c r="B214" s="207" t="s">
        <v>129</v>
      </c>
      <c r="C214" s="206" t="s">
        <v>208</v>
      </c>
      <c r="D214" s="205"/>
      <c r="E214" s="205"/>
    </row>
    <row r="215" spans="1:14" ht="25.2">
      <c r="A215" s="202"/>
      <c r="B215" s="208" t="s">
        <v>130</v>
      </c>
      <c r="C215" s="289" t="s">
        <v>209</v>
      </c>
      <c r="D215" s="205"/>
      <c r="E215" s="205"/>
    </row>
    <row r="216" spans="1:14">
      <c r="B216" s="304"/>
      <c r="C216" s="42"/>
      <c r="D216" s="42"/>
      <c r="E216" s="42"/>
      <c r="F216" s="42"/>
      <c r="G216" s="42"/>
      <c r="H216" s="42"/>
      <c r="I216" s="42"/>
      <c r="J216" s="42"/>
    </row>
    <row r="217" spans="1:14">
      <c r="B217" s="203"/>
      <c r="I217" s="67"/>
    </row>
    <row r="218" spans="1:14">
      <c r="B218" s="806" t="s">
        <v>413</v>
      </c>
      <c r="I218" s="67"/>
    </row>
    <row r="219" spans="1:14">
      <c r="B219" s="808" t="s">
        <v>290</v>
      </c>
    </row>
    <row r="220" spans="1:14">
      <c r="B220" s="809" t="s">
        <v>289</v>
      </c>
    </row>
    <row r="221" spans="1:14">
      <c r="B221" s="812" t="s">
        <v>287</v>
      </c>
    </row>
    <row r="222" spans="1:14">
      <c r="B222" s="810"/>
    </row>
    <row r="223" spans="1:14">
      <c r="B223" s="212"/>
    </row>
    <row r="224" spans="1:14">
      <c r="B224" s="807" t="s">
        <v>285</v>
      </c>
    </row>
    <row r="225" spans="2:2">
      <c r="B225" s="811" t="s">
        <v>414</v>
      </c>
    </row>
    <row r="226" spans="2:2">
      <c r="B226" s="809" t="s">
        <v>415</v>
      </c>
    </row>
    <row r="227" spans="2:2">
      <c r="B227" s="809" t="s">
        <v>296</v>
      </c>
    </row>
    <row r="228" spans="2:2">
      <c r="B228" s="809" t="s">
        <v>416</v>
      </c>
    </row>
    <row r="229" spans="2:2">
      <c r="B229" s="809" t="s">
        <v>417</v>
      </c>
    </row>
    <row r="230" spans="2:2">
      <c r="B230" s="809" t="s">
        <v>288</v>
      </c>
    </row>
    <row r="231" spans="2:2">
      <c r="B231" s="809" t="s">
        <v>418</v>
      </c>
    </row>
    <row r="232" spans="2:2">
      <c r="B232" s="809"/>
    </row>
    <row r="233" spans="2:2">
      <c r="B233" s="810"/>
    </row>
    <row r="234" spans="2:2">
      <c r="B234" s="212"/>
    </row>
    <row r="235" spans="2:2">
      <c r="B235" s="807" t="s">
        <v>295</v>
      </c>
    </row>
    <row r="236" spans="2:2">
      <c r="B236" s="811" t="s">
        <v>419</v>
      </c>
    </row>
    <row r="237" spans="2:2">
      <c r="B237" s="809" t="s">
        <v>420</v>
      </c>
    </row>
    <row r="238" spans="2:2">
      <c r="B238" s="809" t="s">
        <v>421</v>
      </c>
    </row>
    <row r="239" spans="2:2">
      <c r="B239" s="809" t="s">
        <v>422</v>
      </c>
    </row>
    <row r="240" spans="2:2">
      <c r="B240" s="809" t="s">
        <v>423</v>
      </c>
    </row>
    <row r="241" spans="2:2">
      <c r="B241" s="810"/>
    </row>
    <row r="242" spans="2:2">
      <c r="B242" s="212"/>
    </row>
    <row r="243" spans="2:2">
      <c r="B243" s="807" t="s">
        <v>424</v>
      </c>
    </row>
    <row r="244" spans="2:2">
      <c r="B244" s="811" t="s">
        <v>425</v>
      </c>
    </row>
    <row r="245" spans="2:2">
      <c r="B245" s="809" t="s">
        <v>426</v>
      </c>
    </row>
    <row r="246" spans="2:2">
      <c r="B246" s="810"/>
    </row>
    <row r="247" spans="2:2">
      <c r="B247" s="212"/>
    </row>
    <row r="248" spans="2:2">
      <c r="B248" s="807" t="s">
        <v>427</v>
      </c>
    </row>
    <row r="249" spans="2:2">
      <c r="B249" s="811" t="s">
        <v>468</v>
      </c>
    </row>
    <row r="250" spans="2:2">
      <c r="B250" s="809" t="s">
        <v>467</v>
      </c>
    </row>
    <row r="251" spans="2:2">
      <c r="B251" s="810" t="s">
        <v>270</v>
      </c>
    </row>
    <row r="252" spans="2:2">
      <c r="B252" s="212"/>
    </row>
    <row r="253" spans="2:2">
      <c r="B253" s="807" t="s">
        <v>286</v>
      </c>
    </row>
    <row r="254" spans="2:2">
      <c r="B254" s="811" t="s">
        <v>428</v>
      </c>
    </row>
    <row r="255" spans="2:2">
      <c r="B255" s="809" t="s">
        <v>472</v>
      </c>
    </row>
    <row r="256" spans="2:2">
      <c r="B256" s="809"/>
    </row>
    <row r="257" spans="2:2">
      <c r="B257" s="810"/>
    </row>
    <row r="258" spans="2:2">
      <c r="B258" s="212"/>
    </row>
    <row r="259" spans="2:2">
      <c r="B259" s="807" t="s">
        <v>291</v>
      </c>
    </row>
    <row r="260" spans="2:2">
      <c r="B260" s="811" t="s">
        <v>292</v>
      </c>
    </row>
    <row r="261" spans="2:2">
      <c r="B261" s="809" t="s">
        <v>297</v>
      </c>
    </row>
    <row r="262" spans="2:2">
      <c r="B262" s="809"/>
    </row>
    <row r="263" spans="2:2">
      <c r="B263" s="810"/>
    </row>
    <row r="264" spans="2:2">
      <c r="B264" s="212"/>
    </row>
    <row r="265" spans="2:2">
      <c r="B265" s="807" t="s">
        <v>429</v>
      </c>
    </row>
    <row r="266" spans="2:2">
      <c r="B266" s="811" t="s">
        <v>290</v>
      </c>
    </row>
    <row r="267" spans="2:2">
      <c r="B267" s="809" t="s">
        <v>289</v>
      </c>
    </row>
    <row r="268" spans="2:2">
      <c r="B268" s="810"/>
    </row>
  </sheetData>
  <mergeCells count="76">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 ref="B193:C193"/>
    <mergeCell ref="B188:C188"/>
    <mergeCell ref="B189:C189"/>
    <mergeCell ref="B207:C207"/>
    <mergeCell ref="B204:C204"/>
    <mergeCell ref="B203:C203"/>
    <mergeCell ref="B202:C202"/>
    <mergeCell ref="B197:C197"/>
    <mergeCell ref="B199:C199"/>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K38:M38"/>
    <mergeCell ref="K39:M39"/>
    <mergeCell ref="K71:T71"/>
    <mergeCell ref="G54:I54"/>
    <mergeCell ref="G55:I55"/>
    <mergeCell ref="G56:I56"/>
    <mergeCell ref="G57:I57"/>
    <mergeCell ref="J54:K54"/>
    <mergeCell ref="J55:K55"/>
    <mergeCell ref="J56:K56"/>
    <mergeCell ref="J57:K57"/>
    <mergeCell ref="E182:I182"/>
    <mergeCell ref="E183:I183"/>
    <mergeCell ref="E184:I184"/>
    <mergeCell ref="E185:I185"/>
    <mergeCell ref="E186:I186"/>
    <mergeCell ref="B162:C162"/>
    <mergeCell ref="B163:C163"/>
    <mergeCell ref="B167:C167"/>
    <mergeCell ref="B166:C166"/>
    <mergeCell ref="B165:C165"/>
    <mergeCell ref="B164:C16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s>
  <conditionalFormatting sqref="C105:J105">
    <cfRule type="expression" dxfId="91" priority="21">
      <formula>AND(#REF!="Actuals",#REF!="Forecast")</formula>
    </cfRule>
  </conditionalFormatting>
  <conditionalFormatting sqref="C47">
    <cfRule type="expression" dxfId="90" priority="19">
      <formula>AND(#REF!="Actuals",#REF!="Forecast")</formula>
    </cfRule>
  </conditionalFormatting>
  <conditionalFormatting sqref="C50:J50">
    <cfRule type="expression" dxfId="89" priority="18">
      <formula>AND(#REF!="Actuals",#REF!="Forecast")</formula>
    </cfRule>
  </conditionalFormatting>
  <conditionalFormatting sqref="B14:D30">
    <cfRule type="cellIs" dxfId="88" priority="15" operator="equal">
      <formula>"Forecast"</formula>
    </cfRule>
  </conditionalFormatting>
  <conditionalFormatting sqref="B23:C30 E25:F27">
    <cfRule type="expression" dxfId="87" priority="112">
      <formula>$D13="Forecast"</formula>
    </cfRule>
  </conditionalFormatting>
  <conditionalFormatting sqref="K71">
    <cfRule type="expression" dxfId="86" priority="6">
      <formula>AND(#REF!="Actuals",#REF!="Forecast")</formula>
    </cfRule>
  </conditionalFormatting>
  <conditionalFormatting sqref="K72:T72">
    <cfRule type="expression" dxfId="85" priority="5">
      <formula>AND(#REF!="Actuals",#REF!="Forecast")</formula>
    </cfRule>
  </conditionalFormatting>
  <conditionalFormatting sqref="C62:L62">
    <cfRule type="expression" dxfId="84" priority="4">
      <formula>AND(#REF!="Actuals",#REF!="Forecast")</formula>
    </cfRule>
  </conditionalFormatting>
  <conditionalFormatting sqref="C118:L118">
    <cfRule type="expression" dxfId="83" priority="2">
      <formula>AND(#REF!="Actuals",#REF!="Forecast")</formula>
    </cfRule>
  </conditionalFormatting>
  <hyperlinks>
    <hyperlink ref="K39" r:id="rId1" display="August 2018 Publication"/>
    <hyperlink ref="K39:M39" r:id="rId2" display="May 2020 Publication"/>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11"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9"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70" zoomScaleNormal="70" workbookViewId="0">
      <pane ySplit="3" topLeftCell="A4" activePane="bottomLeft" state="frozen"/>
      <selection activeCell="B75" sqref="A1:XFD1048576"/>
      <selection pane="bottomLeft" activeCell="C11" sqref="C11"/>
    </sheetView>
  </sheetViews>
  <sheetFormatPr defaultRowHeight="12.6"/>
  <cols>
    <col min="1" max="1" width="8.36328125" customWidth="1"/>
    <col min="2" max="2" width="23.7265625" customWidth="1"/>
    <col min="3" max="3" width="25.7265625" customWidth="1"/>
    <col min="4" max="4" width="9.7265625" customWidth="1"/>
  </cols>
  <sheetData>
    <row r="1" spans="1:14" s="31" customFormat="1" ht="21">
      <c r="A1" s="900" t="s">
        <v>83</v>
      </c>
      <c r="B1" s="900"/>
      <c r="C1" s="900"/>
      <c r="D1" s="900"/>
      <c r="E1" s="900"/>
      <c r="F1" s="900"/>
      <c r="G1" s="900"/>
      <c r="H1" s="900"/>
      <c r="I1" s="32" t="s">
        <v>84</v>
      </c>
      <c r="J1" s="33"/>
      <c r="K1" s="33"/>
      <c r="L1" s="33"/>
      <c r="M1" s="33"/>
    </row>
    <row r="2" spans="1:14" s="31" customFormat="1" ht="21">
      <c r="A2" s="900" t="str">
        <f>'RFPR cover'!C5</f>
        <v>WPD-EMID</v>
      </c>
      <c r="B2" s="900"/>
      <c r="C2" s="900"/>
      <c r="D2" s="900"/>
      <c r="E2" s="900"/>
      <c r="F2" s="900"/>
      <c r="G2" s="900"/>
      <c r="H2" s="900"/>
      <c r="I2" s="33"/>
      <c r="J2" s="33"/>
      <c r="K2" s="33"/>
      <c r="L2" s="33"/>
      <c r="M2" s="33"/>
      <c r="N2" s="364"/>
    </row>
    <row r="3" spans="1:14" s="31" customFormat="1" ht="21">
      <c r="A3" s="900">
        <f>'RFPR cover'!C7</f>
        <v>2020</v>
      </c>
      <c r="B3" s="900"/>
      <c r="C3" s="900"/>
      <c r="D3" s="900"/>
      <c r="E3" s="900"/>
      <c r="F3" s="900"/>
      <c r="G3" s="900"/>
      <c r="H3" s="900"/>
      <c r="I3" s="33"/>
      <c r="J3" s="33"/>
      <c r="K3" s="33"/>
      <c r="L3" s="33"/>
      <c r="M3" s="33"/>
      <c r="N3" s="364"/>
    </row>
    <row r="4" spans="1:14">
      <c r="A4" s="24"/>
      <c r="B4" s="24"/>
      <c r="C4" s="24"/>
      <c r="D4" s="24"/>
      <c r="E4" s="24"/>
      <c r="F4" s="24"/>
      <c r="G4" s="24"/>
      <c r="H4" s="24"/>
      <c r="I4" s="546"/>
      <c r="J4" s="546"/>
      <c r="K4" s="546"/>
      <c r="L4" s="546"/>
      <c r="M4" s="546"/>
      <c r="N4" s="42"/>
    </row>
    <row r="5" spans="1:14">
      <c r="A5" s="24"/>
      <c r="B5" s="24"/>
      <c r="C5" s="24"/>
      <c r="D5" s="24"/>
      <c r="E5" s="24"/>
      <c r="F5" s="24"/>
      <c r="G5" s="24"/>
      <c r="H5" s="24"/>
      <c r="I5" s="546"/>
      <c r="J5" s="546"/>
      <c r="K5" s="546"/>
      <c r="L5" s="546"/>
      <c r="M5" s="546"/>
      <c r="N5" s="42"/>
    </row>
    <row r="6" spans="1:14">
      <c r="A6" s="24"/>
      <c r="B6" s="25" t="s">
        <v>85</v>
      </c>
      <c r="C6" s="24"/>
      <c r="D6" s="24"/>
      <c r="E6" s="24"/>
      <c r="F6" s="24"/>
      <c r="G6" s="24"/>
      <c r="H6" s="24"/>
      <c r="I6" s="546"/>
      <c r="J6" s="546"/>
      <c r="K6" s="546"/>
      <c r="L6" s="546"/>
      <c r="M6" s="546"/>
      <c r="N6" s="42"/>
    </row>
    <row r="7" spans="1:14">
      <c r="A7" s="24"/>
      <c r="B7" s="24"/>
      <c r="C7" s="24"/>
      <c r="D7" s="24"/>
      <c r="E7" s="24"/>
      <c r="F7" s="24"/>
      <c r="G7" s="24"/>
      <c r="H7" s="24"/>
      <c r="I7" s="546"/>
      <c r="J7" s="546"/>
      <c r="K7" s="546"/>
      <c r="L7" s="546"/>
      <c r="M7" s="546"/>
      <c r="N7" s="42"/>
    </row>
    <row r="8" spans="1:14">
      <c r="A8" s="24"/>
      <c r="B8" s="47" t="s">
        <v>86</v>
      </c>
      <c r="C8" s="47" t="s">
        <v>87</v>
      </c>
      <c r="D8" s="1010" t="s">
        <v>88</v>
      </c>
      <c r="E8" s="1011"/>
      <c r="F8" s="1011"/>
      <c r="G8" s="1011"/>
      <c r="H8" s="1011"/>
      <c r="I8" s="546"/>
      <c r="J8" s="546"/>
      <c r="K8" s="546"/>
      <c r="L8" s="546"/>
      <c r="M8" s="546"/>
      <c r="N8" s="42"/>
    </row>
    <row r="9" spans="1:14">
      <c r="A9" s="24"/>
      <c r="B9" s="26" t="s">
        <v>89</v>
      </c>
      <c r="C9" s="46">
        <v>44043</v>
      </c>
      <c r="D9" s="1008"/>
      <c r="E9" s="1009"/>
      <c r="F9" s="1009"/>
      <c r="G9" s="1009"/>
      <c r="H9" s="1009"/>
      <c r="I9" s="24"/>
      <c r="J9" s="24"/>
      <c r="K9" s="24"/>
      <c r="L9" s="24"/>
      <c r="M9" s="24"/>
    </row>
    <row r="10" spans="1:14" ht="26.4" customHeight="1">
      <c r="A10" s="24"/>
      <c r="B10" s="26" t="s">
        <v>90</v>
      </c>
      <c r="C10" s="968">
        <v>44117</v>
      </c>
      <c r="D10" s="1012" t="s">
        <v>654</v>
      </c>
      <c r="E10" s="1013"/>
      <c r="F10" s="1013"/>
      <c r="G10" s="1013"/>
      <c r="H10" s="1013"/>
      <c r="I10" s="24"/>
      <c r="J10" s="24"/>
      <c r="K10" s="24"/>
      <c r="L10" s="24"/>
      <c r="M10" s="24"/>
    </row>
    <row r="11" spans="1:14">
      <c r="A11" s="24"/>
      <c r="B11" s="26" t="s">
        <v>91</v>
      </c>
      <c r="C11" s="46"/>
      <c r="D11" s="1008"/>
      <c r="E11" s="1009"/>
      <c r="F11" s="1009"/>
      <c r="G11" s="1009"/>
      <c r="H11" s="1009"/>
      <c r="I11" s="24"/>
      <c r="J11" s="24"/>
      <c r="K11" s="24"/>
      <c r="L11" s="24"/>
      <c r="M11" s="24"/>
    </row>
    <row r="12" spans="1:14">
      <c r="A12" s="24"/>
      <c r="B12" s="26" t="s">
        <v>92</v>
      </c>
      <c r="C12" s="46"/>
      <c r="D12" s="1008"/>
      <c r="E12" s="1009"/>
      <c r="F12" s="1009"/>
      <c r="G12" s="1009"/>
      <c r="H12" s="1009"/>
      <c r="I12" s="24"/>
      <c r="J12" s="24"/>
      <c r="K12" s="24"/>
      <c r="L12" s="24"/>
      <c r="M12" s="24"/>
    </row>
    <row r="13" spans="1:14">
      <c r="A13" s="24"/>
      <c r="B13" s="26" t="s">
        <v>93</v>
      </c>
      <c r="C13" s="46"/>
      <c r="D13" s="1008"/>
      <c r="E13" s="1009"/>
      <c r="F13" s="1009"/>
      <c r="G13" s="1009"/>
      <c r="H13" s="1009"/>
      <c r="I13" s="24"/>
      <c r="J13" s="24"/>
      <c r="K13" s="24"/>
      <c r="L13" s="24"/>
      <c r="M13" s="24"/>
    </row>
    <row r="14" spans="1:14">
      <c r="A14" s="24"/>
      <c r="B14" s="26" t="s">
        <v>94</v>
      </c>
      <c r="C14" s="46"/>
      <c r="D14" s="1008"/>
      <c r="E14" s="1009"/>
      <c r="F14" s="1009"/>
      <c r="G14" s="1009"/>
      <c r="H14" s="1009"/>
      <c r="I14" s="24"/>
      <c r="J14" s="24"/>
      <c r="K14" s="24"/>
      <c r="L14" s="24"/>
      <c r="M14" s="24"/>
    </row>
    <row r="15" spans="1:14">
      <c r="A15" s="24"/>
      <c r="B15" s="26" t="s">
        <v>95</v>
      </c>
      <c r="C15" s="46"/>
      <c r="D15" s="1008"/>
      <c r="E15" s="1009"/>
      <c r="F15" s="1009"/>
      <c r="G15" s="1009"/>
      <c r="H15" s="1009"/>
      <c r="I15" s="24"/>
      <c r="J15" s="24"/>
      <c r="K15" s="24"/>
      <c r="L15" s="24"/>
      <c r="M15" s="24"/>
    </row>
    <row r="16" spans="1:14">
      <c r="A16" s="24"/>
      <c r="B16" s="26" t="s">
        <v>96</v>
      </c>
      <c r="C16" s="46"/>
      <c r="D16" s="1008"/>
      <c r="E16" s="1009"/>
      <c r="F16" s="1009"/>
      <c r="G16" s="1009"/>
      <c r="H16" s="1009"/>
      <c r="I16" s="24"/>
      <c r="J16" s="24"/>
      <c r="K16" s="24"/>
      <c r="L16" s="24"/>
      <c r="M16" s="24"/>
    </row>
    <row r="17" spans="1:13">
      <c r="A17" s="24"/>
      <c r="B17" s="26" t="s">
        <v>97</v>
      </c>
      <c r="C17" s="46"/>
      <c r="D17" s="1008"/>
      <c r="E17" s="1009"/>
      <c r="F17" s="1009"/>
      <c r="G17" s="1009"/>
      <c r="H17" s="1009"/>
      <c r="I17" s="24"/>
      <c r="J17" s="24"/>
      <c r="K17" s="24"/>
      <c r="L17" s="24"/>
      <c r="M17" s="24"/>
    </row>
    <row r="18" spans="1:13">
      <c r="A18" s="24"/>
      <c r="B18" s="26" t="s">
        <v>98</v>
      </c>
      <c r="C18" s="46"/>
      <c r="D18" s="1008"/>
      <c r="E18" s="1009"/>
      <c r="F18" s="1009"/>
      <c r="G18" s="1009"/>
      <c r="H18" s="1009"/>
      <c r="I18" s="24"/>
      <c r="J18" s="24"/>
      <c r="K18" s="24"/>
      <c r="L18" s="24"/>
      <c r="M18" s="24"/>
    </row>
    <row r="19" spans="1:13">
      <c r="A19" s="24"/>
      <c r="B19" s="24"/>
      <c r="C19" s="24"/>
      <c r="D19" s="24"/>
      <c r="E19" s="24"/>
      <c r="F19" s="24"/>
      <c r="G19" s="24"/>
      <c r="H19" s="24"/>
      <c r="I19" s="24"/>
      <c r="J19" s="24"/>
      <c r="K19" s="24"/>
      <c r="L19" s="24"/>
      <c r="M19" s="24"/>
    </row>
    <row r="20" spans="1:13">
      <c r="A20" s="24"/>
      <c r="B20" s="212"/>
      <c r="C20" s="24"/>
      <c r="D20" s="24"/>
      <c r="E20" s="24"/>
      <c r="F20" s="24"/>
      <c r="G20" s="24"/>
      <c r="H20" s="24"/>
      <c r="I20" s="24"/>
      <c r="J20" s="24"/>
      <c r="K20" s="24"/>
      <c r="L20" s="24"/>
    </row>
    <row r="21" spans="1:13">
      <c r="A21" s="24"/>
      <c r="B21" s="285" t="s">
        <v>263</v>
      </c>
      <c r="C21" s="24"/>
      <c r="D21" s="24"/>
      <c r="E21" s="24"/>
      <c r="F21" s="24"/>
      <c r="G21" s="24"/>
      <c r="H21" s="24"/>
      <c r="I21" s="24"/>
      <c r="J21" s="24"/>
      <c r="K21" s="24"/>
      <c r="L21" s="24"/>
    </row>
    <row r="22" spans="1:13">
      <c r="A22" s="24"/>
      <c r="B22" s="285" t="s">
        <v>119</v>
      </c>
      <c r="C22" s="24"/>
      <c r="D22" s="24"/>
      <c r="E22" s="24"/>
      <c r="F22" s="24"/>
      <c r="G22" s="24"/>
      <c r="H22" s="24"/>
      <c r="I22" s="24"/>
      <c r="J22" s="24"/>
      <c r="K22" s="24"/>
      <c r="L22" s="24"/>
    </row>
    <row r="23" spans="1:13">
      <c r="A23" s="24"/>
      <c r="B23" s="285" t="s">
        <v>264</v>
      </c>
      <c r="C23" s="24"/>
      <c r="D23" s="24"/>
      <c r="E23" s="24"/>
      <c r="F23" s="24"/>
      <c r="G23" s="24"/>
      <c r="H23" s="24"/>
      <c r="I23" s="24"/>
      <c r="J23" s="24"/>
      <c r="K23" s="24"/>
      <c r="L23" s="24"/>
    </row>
    <row r="24" spans="1:13">
      <c r="B24" s="285" t="s">
        <v>99</v>
      </c>
    </row>
    <row r="25" spans="1:13">
      <c r="B25" s="285" t="s">
        <v>262</v>
      </c>
    </row>
    <row r="26" spans="1:13">
      <c r="B26" s="285" t="s">
        <v>100</v>
      </c>
    </row>
    <row r="27" spans="1:13">
      <c r="B27" s="285" t="s">
        <v>265</v>
      </c>
    </row>
    <row r="28" spans="1:13">
      <c r="B28" s="285" t="s">
        <v>281</v>
      </c>
      <c r="C28" t="s">
        <v>664</v>
      </c>
    </row>
    <row r="29" spans="1:13">
      <c r="B29" s="285" t="s">
        <v>237</v>
      </c>
    </row>
    <row r="30" spans="1:13">
      <c r="B30" s="285" t="s">
        <v>284</v>
      </c>
      <c r="C30" t="s">
        <v>664</v>
      </c>
    </row>
    <row r="31" spans="1:13">
      <c r="B31" s="285" t="s">
        <v>101</v>
      </c>
    </row>
    <row r="32" spans="1:13">
      <c r="B32" s="285" t="s">
        <v>261</v>
      </c>
    </row>
    <row r="33" spans="2:2">
      <c r="B33" s="285" t="s">
        <v>266</v>
      </c>
    </row>
    <row r="34" spans="2:2">
      <c r="B34" s="285" t="s">
        <v>259</v>
      </c>
    </row>
    <row r="35" spans="2:2">
      <c r="B35" s="285" t="s">
        <v>267</v>
      </c>
    </row>
  </sheetData>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6"/>
  <sheetViews>
    <sheetView showGridLines="0" zoomScale="70" zoomScaleNormal="70" workbookViewId="0">
      <pane ySplit="5" topLeftCell="A37" activePane="bottomLeft" state="frozen"/>
      <selection activeCell="B75" sqref="A1:XFD1048576"/>
      <selection pane="bottomLeft" activeCell="A47" sqref="A47"/>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1" customFormat="1" ht="21">
      <c r="A1" s="29" t="s">
        <v>121</v>
      </c>
      <c r="B1" s="29"/>
      <c r="C1" s="29"/>
      <c r="D1" s="29"/>
    </row>
    <row r="2" spans="1:4" s="31" customFormat="1" ht="21">
      <c r="A2" s="29" t="str">
        <f>'RFPR cover'!C5</f>
        <v>WPD-EMID</v>
      </c>
      <c r="B2" s="29"/>
      <c r="C2" s="29"/>
      <c r="D2" s="29"/>
    </row>
    <row r="3" spans="1:4" s="31" customFormat="1" ht="21">
      <c r="A3" s="29">
        <f>'RFPR cover'!C7</f>
        <v>2020</v>
      </c>
      <c r="B3" s="29"/>
      <c r="C3" s="29"/>
      <c r="D3" s="29"/>
    </row>
    <row r="4" spans="1:4" s="31" customFormat="1" ht="21">
      <c r="A4" s="839"/>
      <c r="B4" s="839"/>
      <c r="C4" s="839"/>
      <c r="D4" s="839"/>
    </row>
    <row r="5" spans="1:4" ht="27.6">
      <c r="A5" s="836" t="s">
        <v>451</v>
      </c>
      <c r="B5" s="837" t="s">
        <v>452</v>
      </c>
      <c r="C5" s="838" t="s">
        <v>453</v>
      </c>
    </row>
    <row r="6" spans="1:4">
      <c r="A6" s="334">
        <v>1.1000000000000001</v>
      </c>
      <c r="B6" s="846" t="s">
        <v>535</v>
      </c>
      <c r="C6" s="853" t="s">
        <v>536</v>
      </c>
    </row>
    <row r="7" spans="1:4">
      <c r="A7" s="334">
        <v>1.1000000000000001</v>
      </c>
      <c r="B7" s="846" t="s">
        <v>535</v>
      </c>
      <c r="C7" s="853" t="s">
        <v>537</v>
      </c>
    </row>
    <row r="8" spans="1:4">
      <c r="A8" s="334">
        <v>1.1000000000000001</v>
      </c>
      <c r="B8" s="844" t="s">
        <v>538</v>
      </c>
      <c r="C8" s="852" t="s">
        <v>539</v>
      </c>
    </row>
    <row r="9" spans="1:4" ht="25.2">
      <c r="A9" s="334">
        <v>1.1000000000000001</v>
      </c>
      <c r="B9" s="844" t="s">
        <v>541</v>
      </c>
      <c r="C9" s="852" t="s">
        <v>542</v>
      </c>
    </row>
    <row r="10" spans="1:4">
      <c r="A10" s="334">
        <v>1.1000000000000001</v>
      </c>
      <c r="B10" s="844" t="s">
        <v>541</v>
      </c>
      <c r="C10" s="852" t="s">
        <v>544</v>
      </c>
    </row>
    <row r="11" spans="1:4">
      <c r="A11" s="334">
        <v>1.1000000000000001</v>
      </c>
      <c r="B11" s="844" t="s">
        <v>546</v>
      </c>
      <c r="C11" s="852" t="s">
        <v>545</v>
      </c>
    </row>
    <row r="12" spans="1:4" ht="25.2">
      <c r="A12" s="334">
        <v>1.1000000000000001</v>
      </c>
      <c r="B12" s="844" t="s">
        <v>541</v>
      </c>
      <c r="C12" s="852" t="s">
        <v>547</v>
      </c>
    </row>
    <row r="13" spans="1:4" ht="50.4">
      <c r="A13" s="334">
        <v>1.1000000000000001</v>
      </c>
      <c r="B13" s="844" t="s">
        <v>541</v>
      </c>
      <c r="C13" s="852" t="s">
        <v>548</v>
      </c>
    </row>
    <row r="14" spans="1:4">
      <c r="A14" s="335">
        <v>1.1000000000000001</v>
      </c>
      <c r="B14" s="844" t="s">
        <v>549</v>
      </c>
      <c r="C14" s="852" t="s">
        <v>550</v>
      </c>
    </row>
    <row r="15" spans="1:4">
      <c r="A15" s="335">
        <v>1.1000000000000001</v>
      </c>
      <c r="B15" s="844" t="s">
        <v>538</v>
      </c>
      <c r="C15" s="852" t="s">
        <v>551</v>
      </c>
    </row>
    <row r="16" spans="1:4" ht="37.799999999999997">
      <c r="A16" s="335">
        <v>1.1000000000000001</v>
      </c>
      <c r="B16" s="844" t="s">
        <v>552</v>
      </c>
      <c r="C16" s="852" t="s">
        <v>553</v>
      </c>
    </row>
    <row r="17" spans="1:3">
      <c r="A17" s="335">
        <v>1.1000000000000001</v>
      </c>
      <c r="B17" s="844" t="s">
        <v>546</v>
      </c>
      <c r="C17" s="286" t="s">
        <v>554</v>
      </c>
    </row>
    <row r="18" spans="1:3">
      <c r="A18" s="335">
        <v>1.1000000000000001</v>
      </c>
      <c r="B18" s="844" t="s">
        <v>546</v>
      </c>
      <c r="C18" s="286" t="s">
        <v>555</v>
      </c>
    </row>
    <row r="19" spans="1:3">
      <c r="A19" s="335">
        <v>1.1000000000000001</v>
      </c>
      <c r="B19" s="844" t="s">
        <v>556</v>
      </c>
      <c r="C19" s="286" t="s">
        <v>557</v>
      </c>
    </row>
    <row r="20" spans="1:3" ht="25.2">
      <c r="A20" s="335">
        <v>1.1000000000000001</v>
      </c>
      <c r="B20" s="844" t="s">
        <v>556</v>
      </c>
      <c r="C20" s="286" t="s">
        <v>568</v>
      </c>
    </row>
    <row r="21" spans="1:3">
      <c r="A21" s="335">
        <v>1.1000000000000001</v>
      </c>
      <c r="B21" s="844" t="s">
        <v>569</v>
      </c>
      <c r="C21" s="286" t="s">
        <v>570</v>
      </c>
    </row>
    <row r="22" spans="1:3">
      <c r="A22" s="335">
        <v>1.1000000000000001</v>
      </c>
      <c r="B22" s="335" t="s">
        <v>549</v>
      </c>
      <c r="C22" s="286" t="s">
        <v>571</v>
      </c>
    </row>
    <row r="23" spans="1:3" ht="25.2">
      <c r="A23" s="335">
        <v>1.1000000000000001</v>
      </c>
      <c r="B23" s="844" t="s">
        <v>549</v>
      </c>
      <c r="C23" s="286" t="s">
        <v>572</v>
      </c>
    </row>
    <row r="24" spans="1:3" ht="25.2">
      <c r="A24" s="335">
        <v>1.1000000000000001</v>
      </c>
      <c r="B24" s="844" t="s">
        <v>552</v>
      </c>
      <c r="C24" s="286" t="s">
        <v>573</v>
      </c>
    </row>
    <row r="25" spans="1:3" ht="25.8" thickBot="1">
      <c r="A25" s="938">
        <v>1.1000000000000001</v>
      </c>
      <c r="B25" s="939" t="s">
        <v>556</v>
      </c>
      <c r="C25" s="940" t="s">
        <v>575</v>
      </c>
    </row>
    <row r="26" spans="1:3">
      <c r="A26" s="935">
        <v>1.1000000000000001</v>
      </c>
      <c r="B26" s="936" t="s">
        <v>549</v>
      </c>
      <c r="C26" s="937" t="s">
        <v>576</v>
      </c>
    </row>
    <row r="27" spans="1:3">
      <c r="A27" s="935">
        <v>1.1000000000000001</v>
      </c>
      <c r="B27" s="844" t="s">
        <v>556</v>
      </c>
      <c r="C27" s="286" t="s">
        <v>577</v>
      </c>
    </row>
    <row r="28" spans="1:3">
      <c r="A28" s="335">
        <v>1.1000000000000001</v>
      </c>
      <c r="B28" s="844" t="s">
        <v>546</v>
      </c>
      <c r="C28" s="286" t="s">
        <v>578</v>
      </c>
    </row>
    <row r="29" spans="1:3" ht="75.599999999999994">
      <c r="A29" s="942" t="s">
        <v>618</v>
      </c>
      <c r="B29" s="844" t="s">
        <v>556</v>
      </c>
      <c r="C29" s="852" t="s">
        <v>633</v>
      </c>
    </row>
    <row r="30" spans="1:3" ht="25.2">
      <c r="A30" s="942" t="s">
        <v>618</v>
      </c>
      <c r="B30" s="844" t="s">
        <v>607</v>
      </c>
      <c r="C30" s="286" t="s">
        <v>620</v>
      </c>
    </row>
    <row r="31" spans="1:3" ht="63">
      <c r="A31" s="942" t="s">
        <v>618</v>
      </c>
      <c r="B31" s="844" t="s">
        <v>607</v>
      </c>
      <c r="C31" s="852" t="s">
        <v>641</v>
      </c>
    </row>
    <row r="32" spans="1:3">
      <c r="A32" s="942" t="s">
        <v>618</v>
      </c>
      <c r="B32" s="844" t="s">
        <v>607</v>
      </c>
      <c r="C32" s="876" t="s">
        <v>652</v>
      </c>
    </row>
    <row r="33" spans="1:3" ht="25.2">
      <c r="A33" s="942" t="s">
        <v>618</v>
      </c>
      <c r="B33" s="844" t="s">
        <v>637</v>
      </c>
      <c r="C33" s="286" t="s">
        <v>640</v>
      </c>
    </row>
    <row r="34" spans="1:3">
      <c r="A34" s="942" t="s">
        <v>618</v>
      </c>
      <c r="B34" s="869" t="s">
        <v>637</v>
      </c>
      <c r="C34" s="286" t="s">
        <v>638</v>
      </c>
    </row>
    <row r="35" spans="1:3" ht="37.799999999999997">
      <c r="A35" s="942" t="s">
        <v>618</v>
      </c>
      <c r="B35" s="869" t="s">
        <v>637</v>
      </c>
      <c r="C35" s="286" t="s">
        <v>639</v>
      </c>
    </row>
    <row r="36" spans="1:3" ht="25.2">
      <c r="A36" s="942" t="s">
        <v>618</v>
      </c>
      <c r="B36" s="869" t="s">
        <v>541</v>
      </c>
      <c r="C36" s="286" t="s">
        <v>642</v>
      </c>
    </row>
    <row r="37" spans="1:3" ht="63">
      <c r="A37" s="942" t="s">
        <v>618</v>
      </c>
      <c r="B37" s="844" t="s">
        <v>541</v>
      </c>
      <c r="C37" s="852" t="s">
        <v>634</v>
      </c>
    </row>
    <row r="38" spans="1:3" ht="25.2">
      <c r="A38" s="942" t="s">
        <v>618</v>
      </c>
      <c r="B38" s="869" t="s">
        <v>535</v>
      </c>
      <c r="C38" s="286" t="s">
        <v>643</v>
      </c>
    </row>
    <row r="39" spans="1:3">
      <c r="A39" s="942" t="s">
        <v>618</v>
      </c>
      <c r="B39" s="869" t="s">
        <v>552</v>
      </c>
      <c r="C39" s="286" t="s">
        <v>644</v>
      </c>
    </row>
    <row r="40" spans="1:3" ht="25.2">
      <c r="A40" s="942" t="s">
        <v>618</v>
      </c>
      <c r="B40" s="869" t="s">
        <v>552</v>
      </c>
      <c r="C40" s="286" t="s">
        <v>650</v>
      </c>
    </row>
    <row r="41" spans="1:3" ht="25.2">
      <c r="A41" s="942" t="s">
        <v>618</v>
      </c>
      <c r="B41" s="869" t="s">
        <v>549</v>
      </c>
      <c r="C41" s="286" t="s">
        <v>645</v>
      </c>
    </row>
    <row r="42" spans="1:3">
      <c r="A42" s="942" t="s">
        <v>618</v>
      </c>
      <c r="B42" s="869" t="s">
        <v>646</v>
      </c>
      <c r="C42" s="286" t="s">
        <v>647</v>
      </c>
    </row>
    <row r="43" spans="1:3" ht="25.2">
      <c r="A43" s="942" t="s">
        <v>618</v>
      </c>
      <c r="B43" s="844" t="s">
        <v>646</v>
      </c>
      <c r="C43" s="286" t="s">
        <v>651</v>
      </c>
    </row>
    <row r="44" spans="1:3" ht="37.799999999999997">
      <c r="A44" s="942" t="s">
        <v>618</v>
      </c>
      <c r="B44" s="844" t="s">
        <v>648</v>
      </c>
      <c r="C44" s="286" t="s">
        <v>649</v>
      </c>
    </row>
    <row r="45" spans="1:3" ht="37.799999999999997">
      <c r="A45" s="942" t="s">
        <v>618</v>
      </c>
      <c r="B45" s="844" t="s">
        <v>617</v>
      </c>
      <c r="C45" s="286" t="s">
        <v>619</v>
      </c>
    </row>
    <row r="46" spans="1:3" ht="25.2">
      <c r="A46" s="942" t="s">
        <v>666</v>
      </c>
      <c r="B46" s="844"/>
      <c r="C46" s="286"/>
    </row>
    <row r="47" spans="1:3">
      <c r="A47" s="336"/>
      <c r="B47" s="965" t="s">
        <v>656</v>
      </c>
      <c r="C47" s="953" t="s">
        <v>657</v>
      </c>
    </row>
    <row r="48" spans="1:3" ht="37.799999999999997">
      <c r="A48" s="336"/>
      <c r="B48" s="965" t="s">
        <v>658</v>
      </c>
      <c r="C48" s="953" t="s">
        <v>659</v>
      </c>
    </row>
    <row r="49" spans="1:3" ht="50.4">
      <c r="A49" s="336"/>
      <c r="B49" s="965" t="s">
        <v>607</v>
      </c>
      <c r="C49" s="953" t="s">
        <v>660</v>
      </c>
    </row>
    <row r="50" spans="1:3" ht="37.799999999999997">
      <c r="A50" s="336"/>
      <c r="B50" s="965" t="s">
        <v>637</v>
      </c>
      <c r="C50" s="953" t="s">
        <v>661</v>
      </c>
    </row>
    <row r="51" spans="1:3" ht="63">
      <c r="A51" s="336"/>
      <c r="B51" s="965" t="s">
        <v>552</v>
      </c>
      <c r="C51" s="953" t="s">
        <v>662</v>
      </c>
    </row>
    <row r="52" spans="1:3" ht="50.4">
      <c r="A52" s="336"/>
      <c r="B52" s="965" t="s">
        <v>646</v>
      </c>
      <c r="C52" s="953" t="s">
        <v>663</v>
      </c>
    </row>
    <row r="53" spans="1:3" ht="25.2">
      <c r="A53" s="336"/>
      <c r="B53" s="965" t="s">
        <v>538</v>
      </c>
      <c r="C53" s="953" t="s">
        <v>655</v>
      </c>
    </row>
    <row r="54" spans="1:3">
      <c r="A54" s="336"/>
      <c r="B54" s="844"/>
      <c r="C54" s="286"/>
    </row>
    <row r="55" spans="1:3">
      <c r="A55" s="336"/>
      <c r="B55" s="844"/>
      <c r="C55" s="286"/>
    </row>
    <row r="56" spans="1:3">
      <c r="A56" s="336"/>
      <c r="B56" s="844"/>
      <c r="C56" s="286"/>
    </row>
    <row r="57" spans="1:3">
      <c r="A57" s="336"/>
      <c r="B57" s="844"/>
      <c r="C57" s="286"/>
    </row>
    <row r="58" spans="1:3">
      <c r="A58" s="336"/>
      <c r="B58" s="844"/>
      <c r="C58" s="866"/>
    </row>
    <row r="59" spans="1:3">
      <c r="A59" s="337"/>
      <c r="B59" s="845"/>
      <c r="C59" s="287"/>
    </row>
    <row r="60" spans="1:3">
      <c r="A60" s="337"/>
      <c r="B60" s="845"/>
      <c r="C60" s="287"/>
    </row>
    <row r="61" spans="1:3">
      <c r="A61" s="337"/>
      <c r="B61" s="845"/>
      <c r="C61" s="287"/>
    </row>
    <row r="62" spans="1:3">
      <c r="A62" s="337"/>
      <c r="B62" s="845"/>
      <c r="C62" s="287"/>
    </row>
    <row r="63" spans="1:3">
      <c r="A63" s="337"/>
      <c r="B63" s="845"/>
      <c r="C63" s="287"/>
    </row>
    <row r="64" spans="1:3">
      <c r="A64" s="337"/>
      <c r="B64" s="845"/>
      <c r="C64" s="287"/>
    </row>
    <row r="65" spans="1:3">
      <c r="A65" s="337"/>
      <c r="B65" s="845"/>
      <c r="C65" s="287"/>
    </row>
    <row r="66" spans="1:3">
      <c r="A66" s="337"/>
      <c r="B66" s="845"/>
      <c r="C66" s="287"/>
    </row>
  </sheetData>
  <pageMargins left="0.70866141732283472" right="0.70866141732283472" top="0.74803149606299213" bottom="0.74803149606299213" header="0.31496062992125984" footer="0.31496062992125984"/>
  <pageSetup paperSize="8" scale="74" orientation="landscape" r:id="rId1"/>
  <ignoredErrors>
    <ignoredError sqref="A29:A33 A34:A4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M66"/>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63.36328125" style="195" customWidth="1"/>
    <col min="3" max="3" width="13.36328125" style="42" customWidth="1"/>
    <col min="4" max="11" width="9.08984375" customWidth="1"/>
    <col min="12" max="12" width="3.453125" customWidth="1"/>
    <col min="13" max="14" width="13.7265625" customWidth="1"/>
    <col min="15" max="15" width="5.08984375" customWidth="1"/>
  </cols>
  <sheetData>
    <row r="1" spans="1:29" s="31" customFormat="1" ht="21">
      <c r="A1" s="905" t="s">
        <v>239</v>
      </c>
      <c r="B1" s="914"/>
      <c r="C1" s="915"/>
      <c r="D1" s="915"/>
      <c r="E1" s="915"/>
      <c r="F1" s="915"/>
      <c r="G1" s="255"/>
      <c r="H1" s="255"/>
      <c r="I1" s="256"/>
      <c r="J1" s="256"/>
      <c r="K1" s="257"/>
      <c r="L1" s="257"/>
      <c r="M1" s="257"/>
      <c r="N1" s="257"/>
      <c r="O1" s="365" t="s">
        <v>84</v>
      </c>
    </row>
    <row r="2" spans="1:29" s="31" customFormat="1" ht="21">
      <c r="A2" s="908" t="str">
        <f>'RFPR cover'!C5</f>
        <v>WPD-EMID</v>
      </c>
      <c r="B2" s="916"/>
      <c r="C2" s="900"/>
      <c r="D2" s="900"/>
      <c r="E2" s="900"/>
      <c r="F2" s="900"/>
      <c r="G2" s="29"/>
      <c r="H2" s="29"/>
      <c r="I2" s="27"/>
      <c r="J2" s="27"/>
      <c r="K2" s="27"/>
      <c r="L2" s="27"/>
      <c r="M2" s="27"/>
      <c r="N2" s="27"/>
      <c r="O2" s="122"/>
    </row>
    <row r="3" spans="1:29" s="31" customFormat="1" ht="22.8">
      <c r="A3" s="911">
        <f>'RFPR cover'!C7</f>
        <v>2020</v>
      </c>
      <c r="B3" s="917" t="str">
        <f>IF('RFPR cover'!C5=Data!B98,"Not required to be completed for System Operator",(IF('RFPR cover'!C5=Data!B96,"Not required to be completed for System Operator","")))</f>
        <v/>
      </c>
      <c r="C3" s="918"/>
      <c r="D3" s="918"/>
      <c r="E3" s="918"/>
      <c r="F3" s="918"/>
      <c r="G3" s="259"/>
      <c r="H3" s="259"/>
      <c r="I3" s="254"/>
      <c r="J3" s="254"/>
      <c r="K3" s="254"/>
      <c r="L3" s="254"/>
      <c r="M3" s="254"/>
      <c r="N3" s="254"/>
      <c r="O3" s="260"/>
    </row>
    <row r="4" spans="1:29" ht="12.75" customHeight="1"/>
    <row r="5" spans="1:29">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c r="L5" s="2"/>
      <c r="M5" s="2"/>
    </row>
    <row r="6" spans="1:29" ht="31.5" customHeight="1">
      <c r="C6" s="171"/>
      <c r="D6" s="116">
        <f>'RFPR cover'!$C$13</f>
        <v>2016</v>
      </c>
      <c r="E6" s="117">
        <f>D6+1</f>
        <v>2017</v>
      </c>
      <c r="F6" s="117">
        <f t="shared" ref="F6:K6" si="0">E6+1</f>
        <v>2018</v>
      </c>
      <c r="G6" s="117">
        <f t="shared" si="0"/>
        <v>2019</v>
      </c>
      <c r="H6" s="117">
        <f t="shared" si="0"/>
        <v>2020</v>
      </c>
      <c r="I6" s="117">
        <f t="shared" si="0"/>
        <v>2021</v>
      </c>
      <c r="J6" s="117">
        <f t="shared" si="0"/>
        <v>2022</v>
      </c>
      <c r="K6" s="194">
        <f t="shared" si="0"/>
        <v>2023</v>
      </c>
      <c r="L6" s="49"/>
      <c r="M6" s="100" t="str">
        <f>"Cumulative to "&amp;'RFPR cover'!$C$7</f>
        <v>Cumulative to 2020</v>
      </c>
      <c r="N6" s="193" t="s">
        <v>109</v>
      </c>
    </row>
    <row r="7" spans="1:29">
      <c r="C7" s="171"/>
      <c r="D7" s="171"/>
      <c r="E7" s="171"/>
      <c r="F7" s="171"/>
      <c r="G7" s="171"/>
      <c r="H7" s="171"/>
      <c r="I7" s="171"/>
      <c r="J7" s="171"/>
      <c r="K7" s="171"/>
      <c r="L7" s="171"/>
      <c r="M7" s="171"/>
      <c r="N7" s="171"/>
      <c r="O7" s="171"/>
    </row>
    <row r="8" spans="1:29">
      <c r="B8" s="529" t="s">
        <v>108</v>
      </c>
      <c r="C8" s="422"/>
      <c r="D8" s="422"/>
      <c r="E8" s="422"/>
      <c r="F8" s="422"/>
      <c r="G8" s="422"/>
      <c r="H8" s="422"/>
      <c r="I8" s="422"/>
      <c r="J8" s="422"/>
      <c r="K8" s="422"/>
      <c r="L8" s="530"/>
      <c r="M8" s="216"/>
      <c r="N8" s="216"/>
      <c r="O8" s="216"/>
    </row>
    <row r="9" spans="1:29">
      <c r="B9" s="196"/>
      <c r="D9" s="42"/>
      <c r="E9" s="42"/>
      <c r="F9" s="42"/>
      <c r="G9" s="42"/>
      <c r="H9" s="42"/>
      <c r="I9" s="42"/>
      <c r="J9" s="42"/>
      <c r="K9" s="42"/>
      <c r="L9" s="49"/>
    </row>
    <row r="10" spans="1:29">
      <c r="B10" s="251" t="s">
        <v>215</v>
      </c>
      <c r="C10" s="253" t="s">
        <v>7</v>
      </c>
      <c r="D10" s="506">
        <f t="shared" ref="D10:K19" si="1">D48/D$65</f>
        <v>6.4000000000000001E-2</v>
      </c>
      <c r="E10" s="508">
        <f t="shared" si="1"/>
        <v>6.4000000000000001E-2</v>
      </c>
      <c r="F10" s="508">
        <f t="shared" si="1"/>
        <v>6.4000000000000001E-2</v>
      </c>
      <c r="G10" s="508">
        <f t="shared" si="1"/>
        <v>6.4000000000000001E-2</v>
      </c>
      <c r="H10" s="508">
        <f t="shared" si="1"/>
        <v>6.4000000000000001E-2</v>
      </c>
      <c r="I10" s="508">
        <f t="shared" si="1"/>
        <v>6.4000000000000001E-2</v>
      </c>
      <c r="J10" s="508">
        <f t="shared" si="1"/>
        <v>6.4000000000000001E-2</v>
      </c>
      <c r="K10" s="507">
        <f t="shared" si="1"/>
        <v>6.4000000000000001E-2</v>
      </c>
      <c r="L10" s="172"/>
      <c r="M10" s="507">
        <f>AVERAGE(D48:INDEX(D48:K48,0,MATCH('RFPR cover'!$C$7,$D$6:$K$6,0)))/AVERAGE($D$65:INDEX($D$65:$K$65,0,MATCH('RFPR cover'!$C$7,$D$6:$K$6,0)))</f>
        <v>6.3999999999999987E-2</v>
      </c>
      <c r="N10" s="507">
        <f>AVERAGE(D48:K48)/AVERAGE($D$65:$K$65)</f>
        <v>6.3999999999999987E-2</v>
      </c>
      <c r="Q10" s="172"/>
      <c r="R10" s="172"/>
      <c r="S10" s="172"/>
      <c r="T10" s="172"/>
      <c r="U10" s="172"/>
      <c r="V10" s="172"/>
      <c r="W10" s="172"/>
      <c r="X10" s="172"/>
      <c r="Y10" s="172"/>
      <c r="Z10" s="172"/>
      <c r="AA10" s="172"/>
      <c r="AB10" s="172"/>
      <c r="AC10" s="172"/>
    </row>
    <row r="11" spans="1:29">
      <c r="B11" s="251" t="str">
        <f t="shared" ref="B11:B18" si="2">B49</f>
        <v>Totex outperformance</v>
      </c>
      <c r="C11" s="253" t="s">
        <v>7</v>
      </c>
      <c r="D11" s="174">
        <f t="shared" si="1"/>
        <v>-5.4795562356230315E-3</v>
      </c>
      <c r="E11" s="175">
        <f t="shared" si="1"/>
        <v>-2.0402161828490836E-3</v>
      </c>
      <c r="F11" s="175">
        <f t="shared" si="1"/>
        <v>-3.0437361785396903E-2</v>
      </c>
      <c r="G11" s="175">
        <f t="shared" si="1"/>
        <v>2.1566159971751524E-2</v>
      </c>
      <c r="H11" s="175">
        <f t="shared" si="1"/>
        <v>8.2276855661213358E-3</v>
      </c>
      <c r="I11" s="175">
        <f t="shared" si="1"/>
        <v>2.1671272151674355E-2</v>
      </c>
      <c r="J11" s="175">
        <f t="shared" si="1"/>
        <v>1.2072543288737346E-2</v>
      </c>
      <c r="K11" s="176">
        <f t="shared" si="1"/>
        <v>3.9596948090974346E-3</v>
      </c>
      <c r="L11" s="172"/>
      <c r="M11" s="176">
        <f>AVERAGE(D49:INDEX(D49:K49,0,MATCH('RFPR cover'!$C$7,$D$6:$K$6,0)))/AVERAGE($D$65:INDEX($D$65:$K$65,0,MATCH('RFPR cover'!$C$7,$D$6:$K$6,0)))</f>
        <v>-1.5072869475141843E-3</v>
      </c>
      <c r="N11" s="176">
        <f t="shared" ref="N11:N19" si="3">AVERAGE(D49:K49)/AVERAGE($D$65:$K$65)</f>
        <v>3.9291007891559954E-3</v>
      </c>
      <c r="P11" s="172"/>
      <c r="Q11" s="517"/>
      <c r="R11" s="517"/>
      <c r="S11" s="517"/>
      <c r="T11" s="517"/>
      <c r="U11" s="517"/>
      <c r="V11" s="517"/>
      <c r="W11" s="517"/>
      <c r="X11" s="517"/>
      <c r="Y11" s="517"/>
      <c r="Z11" s="517"/>
      <c r="AA11" s="517"/>
    </row>
    <row r="12" spans="1:29">
      <c r="B12" s="251" t="str">
        <f t="shared" si="2"/>
        <v>IQI Reward</v>
      </c>
      <c r="C12" s="253" t="s">
        <v>7</v>
      </c>
      <c r="D12" s="174">
        <f t="shared" si="1"/>
        <v>8.4734917849507152E-3</v>
      </c>
      <c r="E12" s="175">
        <f t="shared" si="1"/>
        <v>8.0384849793366953E-3</v>
      </c>
      <c r="F12" s="175">
        <f t="shared" si="1"/>
        <v>7.116760561443833E-3</v>
      </c>
      <c r="G12" s="175">
        <f t="shared" si="1"/>
        <v>7.167917687284568E-3</v>
      </c>
      <c r="H12" s="175">
        <f t="shared" si="1"/>
        <v>7.0067319958911807E-3</v>
      </c>
      <c r="I12" s="175">
        <f t="shared" si="1"/>
        <v>7.1906023291648758E-3</v>
      </c>
      <c r="J12" s="175">
        <f t="shared" si="1"/>
        <v>7.4003046280862843E-3</v>
      </c>
      <c r="K12" s="176">
        <f t="shared" si="1"/>
        <v>7.0050478487437354E-3</v>
      </c>
      <c r="L12" s="172"/>
      <c r="M12" s="176">
        <f>AVERAGE(D50:INDEX(D50:K50,0,MATCH('RFPR cover'!$C$7,$D$6:$K$6,0)))/AVERAGE($D$65:INDEX($D$65:$K$65,0,MATCH('RFPR cover'!$C$7,$D$6:$K$6,0)))</f>
        <v>7.5472029844950786E-3</v>
      </c>
      <c r="N12" s="176">
        <f t="shared" si="3"/>
        <v>7.4105621565710919E-3</v>
      </c>
      <c r="Q12" s="517"/>
      <c r="R12" s="517"/>
      <c r="S12" s="517"/>
      <c r="T12" s="517"/>
      <c r="U12" s="517"/>
      <c r="V12" s="517"/>
      <c r="W12" s="517"/>
      <c r="X12" s="517"/>
      <c r="Y12" s="517"/>
      <c r="Z12" s="517"/>
      <c r="AA12" s="517"/>
    </row>
    <row r="13" spans="1:29">
      <c r="B13" s="251" t="str">
        <f t="shared" si="2"/>
        <v>Broad measure of customer service</v>
      </c>
      <c r="C13" s="253" t="s">
        <v>7</v>
      </c>
      <c r="D13" s="174">
        <f t="shared" si="1"/>
        <v>6.6894927993079601E-3</v>
      </c>
      <c r="E13" s="175">
        <f t="shared" si="1"/>
        <v>6.3544879764440626E-3</v>
      </c>
      <c r="F13" s="175">
        <f t="shared" si="1"/>
        <v>6.3140741154455371E-3</v>
      </c>
      <c r="G13" s="175">
        <f t="shared" si="1"/>
        <v>6.394976375264789E-3</v>
      </c>
      <c r="H13" s="175">
        <f t="shared" si="1"/>
        <v>6.5338272395352266E-3</v>
      </c>
      <c r="I13" s="175">
        <f t="shared" si="1"/>
        <v>6.447977828390356E-3</v>
      </c>
      <c r="J13" s="175">
        <f t="shared" si="1"/>
        <v>6.3159964422626032E-3</v>
      </c>
      <c r="K13" s="176">
        <f t="shared" si="1"/>
        <v>6.1483897580545581E-3</v>
      </c>
      <c r="L13" s="172"/>
      <c r="M13" s="176">
        <f>AVERAGE(D51:INDEX(D51:K51,0,MATCH('RFPR cover'!$C$7,$D$6:$K$6,0)))/AVERAGE($D$65:INDEX($D$65:$K$65,0,MATCH('RFPR cover'!$C$7,$D$6:$K$6,0)))</f>
        <v>6.4557599669879014E-3</v>
      </c>
      <c r="N13" s="176">
        <f t="shared" si="3"/>
        <v>6.3956695986326171E-3</v>
      </c>
      <c r="Q13" s="517"/>
      <c r="R13" s="517"/>
      <c r="S13" s="517"/>
      <c r="T13" s="517"/>
      <c r="U13" s="517"/>
      <c r="V13" s="517"/>
      <c r="W13" s="517"/>
      <c r="X13" s="517"/>
      <c r="Y13" s="517"/>
      <c r="Z13" s="517"/>
      <c r="AA13" s="517"/>
    </row>
    <row r="14" spans="1:29">
      <c r="B14" s="251" t="str">
        <f t="shared" si="2"/>
        <v>Interruptions-related quality of service</v>
      </c>
      <c r="C14" s="253" t="s">
        <v>7</v>
      </c>
      <c r="D14" s="174">
        <f t="shared" si="1"/>
        <v>2.0581573412289916E-2</v>
      </c>
      <c r="E14" s="175">
        <f t="shared" si="1"/>
        <v>1.9975319753886812E-2</v>
      </c>
      <c r="F14" s="175">
        <f t="shared" si="1"/>
        <v>1.6247709850656201E-2</v>
      </c>
      <c r="G14" s="175">
        <f t="shared" si="1"/>
        <v>1.9093305945364795E-2</v>
      </c>
      <c r="H14" s="175">
        <f t="shared" si="1"/>
        <v>1.9094030150423418E-2</v>
      </c>
      <c r="I14" s="175">
        <f t="shared" si="1"/>
        <v>1.5895733082828677E-2</v>
      </c>
      <c r="J14" s="175">
        <f t="shared" si="1"/>
        <v>1.4844997879221944E-2</v>
      </c>
      <c r="K14" s="176">
        <f t="shared" si="1"/>
        <v>1.3708397039290145E-2</v>
      </c>
      <c r="L14" s="172"/>
      <c r="M14" s="176">
        <f>AVERAGE(D52:INDEX(D52:K52,0,MATCH('RFPR cover'!$C$7,$D$6:$K$6,0)))/AVERAGE($D$65:INDEX($D$65:$K$65,0,MATCH('RFPR cover'!$C$7,$D$6:$K$6,0)))</f>
        <v>1.8980532972196783E-2</v>
      </c>
      <c r="N14" s="176">
        <f t="shared" si="3"/>
        <v>1.734921983156314E-2</v>
      </c>
      <c r="Q14" s="517"/>
      <c r="R14" s="517"/>
      <c r="S14" s="517"/>
      <c r="T14" s="517"/>
      <c r="U14" s="517"/>
      <c r="V14" s="517"/>
      <c r="W14" s="517"/>
      <c r="X14" s="517"/>
      <c r="Y14" s="517"/>
      <c r="Z14" s="517"/>
      <c r="AA14" s="517"/>
    </row>
    <row r="15" spans="1:29">
      <c r="B15" s="251" t="str">
        <f t="shared" si="2"/>
        <v>Incentive on connections engagement</v>
      </c>
      <c r="C15" s="253" t="s">
        <v>7</v>
      </c>
      <c r="D15" s="174">
        <f t="shared" si="1"/>
        <v>0</v>
      </c>
      <c r="E15" s="175">
        <f t="shared" si="1"/>
        <v>0</v>
      </c>
      <c r="F15" s="175">
        <f t="shared" si="1"/>
        <v>0</v>
      </c>
      <c r="G15" s="175">
        <f t="shared" si="1"/>
        <v>0</v>
      </c>
      <c r="H15" s="175">
        <f t="shared" si="1"/>
        <v>0</v>
      </c>
      <c r="I15" s="175">
        <f t="shared" si="1"/>
        <v>0</v>
      </c>
      <c r="J15" s="175">
        <f t="shared" si="1"/>
        <v>0</v>
      </c>
      <c r="K15" s="176">
        <f t="shared" si="1"/>
        <v>0</v>
      </c>
      <c r="L15" s="172"/>
      <c r="M15" s="176">
        <f>AVERAGE(D53:INDEX(D53:K53,0,MATCH('RFPR cover'!$C$7,$D$6:$K$6,0)))/AVERAGE($D$65:INDEX($D$65:$K$65,0,MATCH('RFPR cover'!$C$7,$D$6:$K$6,0)))</f>
        <v>0</v>
      </c>
      <c r="N15" s="176">
        <f t="shared" si="3"/>
        <v>0</v>
      </c>
      <c r="Q15" s="517"/>
      <c r="R15" s="517"/>
      <c r="S15" s="517"/>
      <c r="T15" s="517"/>
      <c r="U15" s="517"/>
      <c r="V15" s="517"/>
      <c r="W15" s="517"/>
      <c r="X15" s="517"/>
      <c r="Y15" s="517"/>
      <c r="Z15" s="517"/>
      <c r="AA15" s="517"/>
    </row>
    <row r="16" spans="1:29">
      <c r="B16" s="251" t="str">
        <f t="shared" si="2"/>
        <v>Time to Connect Incentive</v>
      </c>
      <c r="C16" s="253" t="s">
        <v>7</v>
      </c>
      <c r="D16" s="174">
        <f t="shared" si="1"/>
        <v>1.8577578106356426E-3</v>
      </c>
      <c r="E16" s="175">
        <f t="shared" si="1"/>
        <v>1.5357966492702802E-3</v>
      </c>
      <c r="F16" s="175">
        <f t="shared" si="1"/>
        <v>1.8355759979089528E-3</v>
      </c>
      <c r="G16" s="175">
        <f t="shared" si="1"/>
        <v>1.8179425122281001E-3</v>
      </c>
      <c r="H16" s="175">
        <f t="shared" si="1"/>
        <v>1.7847227653412163E-3</v>
      </c>
      <c r="I16" s="175">
        <f t="shared" si="1"/>
        <v>1.692601703416836E-3</v>
      </c>
      <c r="J16" s="175">
        <f t="shared" si="1"/>
        <v>1.6579564355631597E-3</v>
      </c>
      <c r="K16" s="176">
        <f t="shared" si="1"/>
        <v>1.6139594853960089E-3</v>
      </c>
      <c r="L16" s="172"/>
      <c r="M16" s="176">
        <f>AVERAGE(D54:INDEX(D54:K54,0,MATCH('RFPR cover'!$C$7,$D$6:$K$6,0)))/AVERAGE($D$65:INDEX($D$65:$K$65,0,MATCH('RFPR cover'!$C$7,$D$6:$K$6,0)))</f>
        <v>1.7665079520609499E-3</v>
      </c>
      <c r="N16" s="176">
        <f t="shared" si="3"/>
        <v>1.7226986808673251E-3</v>
      </c>
      <c r="Q16" s="517"/>
      <c r="R16" s="517"/>
      <c r="S16" s="517"/>
      <c r="T16" s="517"/>
      <c r="U16" s="517"/>
      <c r="V16" s="517"/>
      <c r="W16" s="517"/>
      <c r="X16" s="517"/>
      <c r="Y16" s="517"/>
      <c r="Z16" s="517"/>
      <c r="AA16" s="517"/>
    </row>
    <row r="17" spans="2:39">
      <c r="B17" s="251" t="str">
        <f t="shared" si="2"/>
        <v>Losses discretionary reward scheme</v>
      </c>
      <c r="C17" s="253" t="s">
        <v>7</v>
      </c>
      <c r="D17" s="174">
        <f t="shared" si="1"/>
        <v>0</v>
      </c>
      <c r="E17" s="175">
        <f t="shared" si="1"/>
        <v>4.6725894161138744E-5</v>
      </c>
      <c r="F17" s="175">
        <f t="shared" si="1"/>
        <v>0</v>
      </c>
      <c r="G17" s="175">
        <f t="shared" si="1"/>
        <v>0</v>
      </c>
      <c r="H17" s="175">
        <f t="shared" si="1"/>
        <v>0</v>
      </c>
      <c r="I17" s="175">
        <f t="shared" si="1"/>
        <v>0</v>
      </c>
      <c r="J17" s="175">
        <f t="shared" si="1"/>
        <v>0</v>
      </c>
      <c r="K17" s="176">
        <f t="shared" si="1"/>
        <v>0</v>
      </c>
      <c r="L17" s="172"/>
      <c r="M17" s="176">
        <f>AVERAGE(D55:INDEX(D55:K55,0,MATCH('RFPR cover'!$C$7,$D$6:$K$6,0)))/AVERAGE($D$65:INDEX($D$65:$K$65,0,MATCH('RFPR cover'!$C$7,$D$6:$K$6,0)))</f>
        <v>9.2401964136779699E-6</v>
      </c>
      <c r="N17" s="176">
        <f t="shared" si="3"/>
        <v>5.6353957154223663E-6</v>
      </c>
      <c r="Q17" s="517"/>
      <c r="R17" s="517"/>
      <c r="S17" s="517"/>
      <c r="T17" s="517"/>
      <c r="U17" s="517"/>
      <c r="V17" s="517"/>
      <c r="W17" s="517"/>
      <c r="X17" s="517"/>
      <c r="Y17" s="517"/>
      <c r="Z17" s="517"/>
      <c r="AA17" s="517"/>
    </row>
    <row r="18" spans="2:39">
      <c r="B18" s="251" t="str">
        <f t="shared" si="2"/>
        <v xml:space="preserve">Network Innovation </v>
      </c>
      <c r="C18" s="253" t="s">
        <v>7</v>
      </c>
      <c r="D18" s="174">
        <f t="shared" si="1"/>
        <v>-7.9699110398964788E-5</v>
      </c>
      <c r="E18" s="175">
        <f t="shared" si="1"/>
        <v>1.8317137898013936E-3</v>
      </c>
      <c r="F18" s="175">
        <f t="shared" si="1"/>
        <v>2.8368038426417519E-4</v>
      </c>
      <c r="G18" s="175">
        <f t="shared" si="1"/>
        <v>-2.982956141587697E-4</v>
      </c>
      <c r="H18" s="175">
        <f t="shared" si="1"/>
        <v>-3.7395585862897172E-4</v>
      </c>
      <c r="I18" s="175">
        <f t="shared" si="1"/>
        <v>-6.2087645480125701E-4</v>
      </c>
      <c r="J18" s="175">
        <f t="shared" si="1"/>
        <v>-5.2911868715034538E-4</v>
      </c>
      <c r="K18" s="176">
        <f t="shared" si="1"/>
        <v>-5.59211022019784E-4</v>
      </c>
      <c r="L18" s="172"/>
      <c r="M18" s="176">
        <f>AVERAGE(D56:INDEX(D56:K56,0,MATCH('RFPR cover'!$C$7,$D$6:$K$6,0)))/AVERAGE($D$65:INDEX($D$65:$K$65,0,MATCH('RFPR cover'!$C$7,$D$6:$K$6,0)))</f>
        <v>2.6650146240254224E-4</v>
      </c>
      <c r="N18" s="176">
        <f t="shared" si="3"/>
        <v>-5.9559598469109614E-5</v>
      </c>
      <c r="Q18" s="517"/>
      <c r="R18" s="517"/>
      <c r="S18" s="517"/>
      <c r="T18" s="517"/>
      <c r="U18" s="517"/>
      <c r="V18" s="517"/>
      <c r="W18" s="517"/>
      <c r="X18" s="517"/>
      <c r="Y18" s="517"/>
      <c r="Z18" s="517"/>
      <c r="AA18" s="517"/>
    </row>
    <row r="19" spans="2:39">
      <c r="B19" s="251" t="str">
        <f>B57</f>
        <v>Penalties and fines</v>
      </c>
      <c r="C19" s="253" t="s">
        <v>7</v>
      </c>
      <c r="D19" s="184">
        <f t="shared" si="1"/>
        <v>-4.2602531484724852E-7</v>
      </c>
      <c r="E19" s="185">
        <f t="shared" si="1"/>
        <v>-1.5979040253174217E-7</v>
      </c>
      <c r="F19" s="185">
        <f t="shared" si="1"/>
        <v>-6.1264071610552576E-8</v>
      </c>
      <c r="G19" s="185">
        <f t="shared" si="1"/>
        <v>0</v>
      </c>
      <c r="H19" s="185">
        <f t="shared" si="1"/>
        <v>-1.3149089679867752E-5</v>
      </c>
      <c r="I19" s="185">
        <f t="shared" si="1"/>
        <v>-2.660160527411035E-6</v>
      </c>
      <c r="J19" s="185">
        <f t="shared" si="1"/>
        <v>-2.5514914457017039E-6</v>
      </c>
      <c r="K19" s="186">
        <f t="shared" si="1"/>
        <v>-2.4214310369856251E-6</v>
      </c>
      <c r="L19" s="172"/>
      <c r="M19" s="186">
        <f>AVERAGE(D57:INDEX(D57:K57,0,MATCH('RFPR cover'!$C$7,$D$6:$K$6,0)))/AVERAGE($D$65:INDEX($D$65:$K$65,0,MATCH('RFPR cover'!$C$7,$D$6:$K$6,0)))</f>
        <v>-2.8298055763530204E-6</v>
      </c>
      <c r="N19" s="186">
        <f t="shared" si="3"/>
        <v>-2.7177051391741698E-6</v>
      </c>
      <c r="Q19" s="517"/>
      <c r="R19" s="517"/>
      <c r="S19" s="517"/>
      <c r="T19" s="517"/>
      <c r="U19" s="517"/>
      <c r="V19" s="517"/>
      <c r="W19" s="517"/>
      <c r="X19" s="517"/>
      <c r="Y19" s="517"/>
      <c r="Z19" s="517"/>
      <c r="AA19" s="517"/>
    </row>
    <row r="20" spans="2:39">
      <c r="B20" s="252" t="str">
        <f>B58</f>
        <v>RoRE - Operational performance</v>
      </c>
      <c r="C20" s="253" t="s">
        <v>7</v>
      </c>
      <c r="D20" s="187">
        <f t="shared" ref="D20:K20" si="4">SUM(D10:D19)</f>
        <v>9.6042634435847388E-2</v>
      </c>
      <c r="E20" s="188">
        <f t="shared" si="4"/>
        <v>9.9742153069648773E-2</v>
      </c>
      <c r="F20" s="188">
        <f t="shared" si="4"/>
        <v>6.5360377860250188E-2</v>
      </c>
      <c r="G20" s="188">
        <f t="shared" si="4"/>
        <v>0.11974200687773501</v>
      </c>
      <c r="H20" s="188">
        <f t="shared" si="4"/>
        <v>0.10625989276900354</v>
      </c>
      <c r="I20" s="188">
        <f t="shared" si="4"/>
        <v>0.11627465048014644</v>
      </c>
      <c r="J20" s="188">
        <f t="shared" si="4"/>
        <v>0.10576012849527529</v>
      </c>
      <c r="K20" s="189">
        <f t="shared" si="4"/>
        <v>9.5873856487525125E-2</v>
      </c>
      <c r="L20" s="173"/>
      <c r="M20" s="189">
        <f>SUM(M10:M19)</f>
        <v>9.7515628781466399E-2</v>
      </c>
      <c r="N20" s="189">
        <f>SUM(N10:N19)</f>
        <v>0.10075060914889732</v>
      </c>
      <c r="Q20" s="517"/>
      <c r="R20" s="517"/>
      <c r="S20" s="517"/>
      <c r="T20" s="517"/>
      <c r="U20" s="517"/>
      <c r="V20" s="517"/>
      <c r="W20" s="517"/>
      <c r="X20" s="517"/>
      <c r="Y20" s="517"/>
      <c r="Z20" s="517"/>
      <c r="AA20" s="517"/>
    </row>
    <row r="21" spans="2:39">
      <c r="B21" s="251" t="str">
        <f>B59</f>
        <v>Debt performance - at notional gearing</v>
      </c>
      <c r="C21" s="253" t="s">
        <v>7</v>
      </c>
      <c r="D21" s="174">
        <f>(D59)/D$65</f>
        <v>-1.6323402270737499E-2</v>
      </c>
      <c r="E21" s="175">
        <f t="shared" ref="E21:K21" si="5">(E59)/E$65</f>
        <v>-4.4115130913683891E-3</v>
      </c>
      <c r="F21" s="175">
        <f t="shared" si="5"/>
        <v>8.6402499157687933E-3</v>
      </c>
      <c r="G21" s="175">
        <f t="shared" si="5"/>
        <v>-1.0161394893906544E-5</v>
      </c>
      <c r="H21" s="175">
        <f t="shared" si="5"/>
        <v>-1.0340206240638673E-2</v>
      </c>
      <c r="I21" s="175">
        <f t="shared" si="5"/>
        <v>-2.6744849513530611E-2</v>
      </c>
      <c r="J21" s="175">
        <f t="shared" si="5"/>
        <v>-2.4035121242123949E-2</v>
      </c>
      <c r="K21" s="176">
        <f t="shared" si="5"/>
        <v>-2.3649346458587999E-2</v>
      </c>
      <c r="L21" s="172"/>
      <c r="M21" s="176">
        <f>AVERAGE(D59:INDEX(D59:K59,0,MATCH('RFPR cover'!$C$7,$D$6:$K$6,0)))/AVERAGE($D$65:INDEX($D$65:$K$65,0,MATCH('RFPR cover'!$C$7,$D$6:$K$6,0)))</f>
        <v>-4.3940532680539282E-3</v>
      </c>
      <c r="N21" s="176">
        <f>AVERAGE(D59:K59)/AVERAGE($D$65:$K$65)</f>
        <v>-1.2349423950553258E-2</v>
      </c>
      <c r="Q21" s="517"/>
      <c r="R21" s="517"/>
      <c r="S21" s="517"/>
      <c r="T21" s="517"/>
      <c r="U21" s="517"/>
      <c r="V21" s="517"/>
      <c r="W21" s="517"/>
      <c r="X21" s="517"/>
      <c r="Y21" s="517"/>
      <c r="Z21" s="517"/>
      <c r="AA21" s="517"/>
    </row>
    <row r="22" spans="2:39">
      <c r="B22" s="251" t="str">
        <f>B61</f>
        <v>Tax performance - at notional gearing</v>
      </c>
      <c r="C22" s="253" t="s">
        <v>7</v>
      </c>
      <c r="D22" s="174">
        <f>(D61)/D$65</f>
        <v>-8.533038262123151E-3</v>
      </c>
      <c r="E22" s="175">
        <f t="shared" ref="E22:K22" si="6">(E61)/E$65</f>
        <v>4.3828011494098443E-3</v>
      </c>
      <c r="F22" s="175">
        <f t="shared" si="6"/>
        <v>-1.2998179332400614E-3</v>
      </c>
      <c r="G22" s="175">
        <f t="shared" si="6"/>
        <v>-2.8489710517419346E-3</v>
      </c>
      <c r="H22" s="175">
        <f t="shared" si="6"/>
        <v>-9.3969983826686192E-3</v>
      </c>
      <c r="I22" s="175">
        <f t="shared" si="6"/>
        <v>-1.0896281199276154E-2</v>
      </c>
      <c r="J22" s="175">
        <f t="shared" si="6"/>
        <v>-1.1386116309958694E-2</v>
      </c>
      <c r="K22" s="176">
        <f t="shared" si="6"/>
        <v>-1.0474079737786517E-2</v>
      </c>
      <c r="L22" s="172"/>
      <c r="M22" s="176">
        <f>AVERAGE(D61:INDEX(D61:K61,0,MATCH('RFPR cover'!$C$7,$D$6:$K$6,0)))/AVERAGE($D$65:INDEX($D$65:$K$65,0,MATCH('RFPR cover'!$C$7,$D$6:$K$6,0)))</f>
        <v>-3.5444619158001203E-3</v>
      </c>
      <c r="N22" s="176">
        <f>AVERAGE(D61:K61)/AVERAGE($D$65:$K$65)</f>
        <v>-6.4198477599348011E-3</v>
      </c>
      <c r="Q22" s="517"/>
      <c r="R22" s="517"/>
      <c r="S22" s="517"/>
      <c r="T22" s="517"/>
      <c r="U22" s="517"/>
      <c r="V22" s="517"/>
      <c r="W22" s="517"/>
      <c r="X22" s="517"/>
      <c r="Y22" s="517"/>
      <c r="Z22" s="517"/>
      <c r="AA22" s="517"/>
    </row>
    <row r="23" spans="2:39">
      <c r="B23" s="252" t="str">
        <f>B63</f>
        <v>RoRE - including financing and tax</v>
      </c>
      <c r="C23" s="253" t="s">
        <v>7</v>
      </c>
      <c r="D23" s="190">
        <f>SUM(D20:D22)</f>
        <v>7.1186193902986736E-2</v>
      </c>
      <c r="E23" s="191">
        <f t="shared" ref="E23:K23" si="7">SUM(E20:E22)</f>
        <v>9.9713441127690233E-2</v>
      </c>
      <c r="F23" s="191">
        <f t="shared" si="7"/>
        <v>7.2700809842778921E-2</v>
      </c>
      <c r="G23" s="191">
        <f t="shared" si="7"/>
        <v>0.11688287443109917</v>
      </c>
      <c r="H23" s="191">
        <f t="shared" si="7"/>
        <v>8.6522688145696233E-2</v>
      </c>
      <c r="I23" s="191">
        <f t="shared" si="7"/>
        <v>7.8633519767339677E-2</v>
      </c>
      <c r="J23" s="191">
        <f t="shared" si="7"/>
        <v>7.0338890943192636E-2</v>
      </c>
      <c r="K23" s="192">
        <f t="shared" si="7"/>
        <v>6.1750430291150606E-2</v>
      </c>
      <c r="L23" s="173"/>
      <c r="M23" s="192">
        <f>SUM(M20:M22)</f>
        <v>8.9577113597612348E-2</v>
      </c>
      <c r="N23" s="192">
        <f>SUM(N20:N22)</f>
        <v>8.1981337438409255E-2</v>
      </c>
      <c r="Q23" s="517"/>
      <c r="R23" s="517"/>
      <c r="S23" s="517"/>
      <c r="T23" s="517"/>
      <c r="U23" s="517"/>
      <c r="V23" s="517"/>
      <c r="W23" s="517"/>
      <c r="X23" s="517"/>
      <c r="Y23" s="517"/>
      <c r="Z23" s="517"/>
      <c r="AA23" s="517"/>
    </row>
    <row r="24" spans="2:39">
      <c r="Q24" s="517"/>
      <c r="R24" s="517"/>
      <c r="S24" s="517"/>
      <c r="T24" s="517"/>
      <c r="U24" s="517"/>
      <c r="V24" s="517"/>
      <c r="W24" s="517"/>
      <c r="X24" s="517"/>
      <c r="Y24" s="517"/>
      <c r="Z24" s="517"/>
      <c r="AA24" s="517"/>
    </row>
    <row r="25" spans="2:39">
      <c r="Q25" s="517"/>
      <c r="R25" s="517"/>
      <c r="S25" s="517"/>
      <c r="T25" s="517"/>
      <c r="U25" s="517"/>
      <c r="V25" s="517"/>
      <c r="W25" s="517"/>
      <c r="X25" s="517"/>
      <c r="Y25" s="517"/>
      <c r="Z25" s="517"/>
      <c r="AA25" s="517"/>
    </row>
    <row r="26" spans="2:39" s="31" customFormat="1">
      <c r="B26" s="468"/>
      <c r="C26" s="364"/>
      <c r="Q26" s="517"/>
      <c r="R26" s="517"/>
      <c r="S26" s="517"/>
      <c r="T26" s="517"/>
      <c r="U26" s="517"/>
      <c r="V26" s="517"/>
      <c r="W26" s="517"/>
      <c r="X26" s="517"/>
      <c r="Y26" s="517"/>
      <c r="Z26" s="517"/>
      <c r="AA26" s="517"/>
      <c r="AB26"/>
      <c r="AC26"/>
      <c r="AD26"/>
      <c r="AE26"/>
      <c r="AF26"/>
      <c r="AG26"/>
      <c r="AH26"/>
      <c r="AI26"/>
      <c r="AJ26"/>
      <c r="AK26"/>
      <c r="AL26"/>
      <c r="AM26"/>
    </row>
    <row r="27" spans="2:39">
      <c r="B27" s="529" t="s">
        <v>216</v>
      </c>
      <c r="C27" s="422"/>
      <c r="D27" s="216"/>
      <c r="E27" s="216"/>
      <c r="F27" s="216"/>
      <c r="G27" s="216"/>
      <c r="H27" s="216"/>
      <c r="I27" s="216"/>
      <c r="J27" s="216"/>
      <c r="K27" s="216"/>
      <c r="L27" s="530"/>
      <c r="M27" s="216"/>
      <c r="N27" s="216"/>
      <c r="O27" s="216"/>
      <c r="Q27" s="517"/>
      <c r="R27" s="517"/>
      <c r="S27" s="517"/>
      <c r="T27" s="517"/>
      <c r="U27" s="517"/>
      <c r="V27" s="517"/>
      <c r="W27" s="517"/>
      <c r="X27" s="517"/>
      <c r="Y27" s="517"/>
      <c r="Z27" s="517"/>
      <c r="AA27" s="517"/>
    </row>
    <row r="28" spans="2:39">
      <c r="B28" s="196"/>
      <c r="L28" s="49"/>
      <c r="Q28" s="517"/>
      <c r="R28" s="517"/>
      <c r="S28" s="517"/>
      <c r="T28" s="517"/>
      <c r="U28" s="517"/>
      <c r="V28" s="517"/>
      <c r="W28" s="517"/>
      <c r="X28" s="517"/>
      <c r="Y28" s="517"/>
      <c r="Z28" s="517"/>
      <c r="AA28" s="517"/>
    </row>
    <row r="29" spans="2:39">
      <c r="B29" s="251" t="s">
        <v>215</v>
      </c>
      <c r="C29" s="253" t="s">
        <v>7</v>
      </c>
      <c r="D29" s="174">
        <f t="shared" ref="D29:K38" si="8">D48/D$66</f>
        <v>6.0900315103402526E-2</v>
      </c>
      <c r="E29" s="175">
        <f t="shared" si="8"/>
        <v>6.213846396759673E-2</v>
      </c>
      <c r="F29" s="175">
        <f t="shared" si="8"/>
        <v>6.1116531765908227E-2</v>
      </c>
      <c r="G29" s="175">
        <f t="shared" si="8"/>
        <v>5.7109459009536394E-2</v>
      </c>
      <c r="H29" s="175">
        <f t="shared" si="8"/>
        <v>5.5050168147982109E-2</v>
      </c>
      <c r="I29" s="175">
        <f t="shared" si="8"/>
        <v>5.7375209868545732E-2</v>
      </c>
      <c r="J29" s="175">
        <f t="shared" si="8"/>
        <v>6.084307146684878E-2</v>
      </c>
      <c r="K29" s="176">
        <f t="shared" si="8"/>
        <v>6.3913873921702474E-2</v>
      </c>
      <c r="L29" s="172"/>
      <c r="M29" s="507">
        <f>AVERAGE(D48:INDEX(D48:K48,0,MATCH('RFPR cover'!$C$7,$D$6:$K$6,0)))/AVERAGE($D$66:INDEX($D$66:$K$66,0,MATCH('RFPR cover'!$C$7,$D$6:$K$6,0)))</f>
        <v>5.9086531751585486E-2</v>
      </c>
      <c r="N29" s="507">
        <f>AVERAGE(D48:K48)/AVERAGE($D$66:$K$66)</f>
        <v>5.9684681762623877E-2</v>
      </c>
      <c r="P29" s="321"/>
      <c r="Q29" s="517"/>
      <c r="R29" s="517"/>
      <c r="S29" s="517"/>
      <c r="T29" s="517"/>
      <c r="U29" s="517"/>
      <c r="V29" s="517"/>
      <c r="W29" s="517"/>
      <c r="X29" s="517"/>
      <c r="Y29" s="517"/>
      <c r="Z29" s="517"/>
      <c r="AA29" s="517"/>
    </row>
    <row r="30" spans="2:39">
      <c r="B30" s="251" t="str">
        <f t="shared" ref="B30:B37" si="9">B49</f>
        <v>Totex outperformance</v>
      </c>
      <c r="C30" s="253" t="s">
        <v>7</v>
      </c>
      <c r="D30" s="174">
        <f t="shared" si="8"/>
        <v>-5.2141672090040125E-3</v>
      </c>
      <c r="E30" s="175">
        <f t="shared" si="8"/>
        <v>-1.9808734338136796E-3</v>
      </c>
      <c r="F30" s="175">
        <f t="shared" si="8"/>
        <v>-2.9066031069182045E-2</v>
      </c>
      <c r="G30" s="175">
        <f t="shared" si="8"/>
        <v>1.9244245764060128E-2</v>
      </c>
      <c r="H30" s="175">
        <f t="shared" si="8"/>
        <v>7.0771167794328876E-3</v>
      </c>
      <c r="I30" s="175">
        <f t="shared" si="8"/>
        <v>1.9428027934698232E-2</v>
      </c>
      <c r="J30" s="175">
        <f t="shared" si="8"/>
        <v>1.1477040845363624E-2</v>
      </c>
      <c r="K30" s="176">
        <f t="shared" si="8"/>
        <v>3.9543661687042675E-3</v>
      </c>
      <c r="L30" s="172"/>
      <c r="M30" s="176">
        <f>AVERAGE(D49:INDEX(D49:K49,0,MATCH('RFPR cover'!$C$7,$D$6:$K$6,0)))/AVERAGE($D$66:INDEX($D$66:$K$66,0,MATCH('RFPR cover'!$C$7,$D$6:$K$6,0)))</f>
        <v>-1.3915680950476132E-3</v>
      </c>
      <c r="N30" s="176">
        <f t="shared" ref="N30:N38" si="10">AVERAGE(D49:K49)/AVERAGE($D$66:$K$66)</f>
        <v>3.6641739095945301E-3</v>
      </c>
      <c r="Q30" s="517"/>
      <c r="R30" s="517"/>
      <c r="S30" s="517"/>
      <c r="T30" s="517"/>
      <c r="U30" s="517"/>
      <c r="V30" s="517"/>
      <c r="W30" s="517"/>
      <c r="X30" s="517"/>
      <c r="Y30" s="517"/>
      <c r="Z30" s="517"/>
      <c r="AA30" s="517"/>
    </row>
    <row r="31" spans="2:39">
      <c r="B31" s="251" t="str">
        <f t="shared" si="9"/>
        <v>IQI Reward</v>
      </c>
      <c r="C31" s="253" t="s">
        <v>7</v>
      </c>
      <c r="D31" s="174">
        <f t="shared" si="8"/>
        <v>8.0630987457748632E-3</v>
      </c>
      <c r="E31" s="175">
        <f t="shared" si="8"/>
        <v>7.8046735819153256E-3</v>
      </c>
      <c r="F31" s="175">
        <f t="shared" si="8"/>
        <v>6.7961206706850762E-3</v>
      </c>
      <c r="G31" s="175">
        <f t="shared" si="8"/>
        <v>6.396185958526702E-3</v>
      </c>
      <c r="H31" s="175">
        <f t="shared" si="8"/>
        <v>6.0269027272133718E-3</v>
      </c>
      <c r="I31" s="175">
        <f t="shared" si="8"/>
        <v>6.446286214329508E-3</v>
      </c>
      <c r="J31" s="175">
        <f t="shared" si="8"/>
        <v>7.0352697400485236E-3</v>
      </c>
      <c r="K31" s="176">
        <f t="shared" si="8"/>
        <v>6.9956210159390656E-3</v>
      </c>
      <c r="L31" s="172"/>
      <c r="M31" s="176">
        <f>AVERAGE(D50:INDEX(D50:K50,0,MATCH('RFPR cover'!$C$7,$D$6:$K$6,0)))/AVERAGE($D$66:INDEX($D$66:$K$66,0,MATCH('RFPR cover'!$C$7,$D$6:$K$6,0)))</f>
        <v>6.9677820121723322E-3</v>
      </c>
      <c r="N31" s="176">
        <f t="shared" si="10"/>
        <v>6.9108913124545212E-3</v>
      </c>
      <c r="Q31" s="517"/>
      <c r="R31" s="517"/>
      <c r="S31" s="517"/>
      <c r="T31" s="517"/>
      <c r="U31" s="517"/>
      <c r="V31" s="517"/>
      <c r="W31" s="517"/>
      <c r="X31" s="517"/>
      <c r="Y31" s="517"/>
      <c r="Z31" s="517"/>
      <c r="AA31" s="517"/>
    </row>
    <row r="32" spans="2:39">
      <c r="B32" s="251" t="str">
        <f t="shared" si="9"/>
        <v>Broad measure of customer service</v>
      </c>
      <c r="C32" s="253" t="s">
        <v>7</v>
      </c>
      <c r="D32" s="174">
        <f t="shared" si="8"/>
        <v>6.3655034274968285E-3</v>
      </c>
      <c r="E32" s="175">
        <f t="shared" si="8"/>
        <v>6.1696581586999383E-3</v>
      </c>
      <c r="F32" s="175">
        <f t="shared" si="8"/>
        <v>6.0295986132644702E-3</v>
      </c>
      <c r="G32" s="175">
        <f t="shared" si="8"/>
        <v>5.7064631432834079E-3</v>
      </c>
      <c r="H32" s="175">
        <f t="shared" si="8"/>
        <v>5.6201295029106244E-3</v>
      </c>
      <c r="I32" s="175">
        <f t="shared" si="8"/>
        <v>5.7805325176816637E-3</v>
      </c>
      <c r="J32" s="175">
        <f t="shared" si="8"/>
        <v>6.004447233139784E-3</v>
      </c>
      <c r="K32" s="176">
        <f t="shared" si="8"/>
        <v>6.1401157471529027E-3</v>
      </c>
      <c r="L32" s="172"/>
      <c r="M32" s="176">
        <f>AVERAGE(D51:INDEX(D51:K51,0,MATCH('RFPR cover'!$C$7,$D$6:$K$6,0)))/AVERAGE($D$66:INDEX($D$66:$K$66,0,MATCH('RFPR cover'!$C$7,$D$6:$K$6,0)))</f>
        <v>5.9601322854694553E-3</v>
      </c>
      <c r="N32" s="176">
        <f t="shared" si="10"/>
        <v>5.9644297602074407E-3</v>
      </c>
      <c r="Q32" s="517"/>
      <c r="R32" s="517"/>
      <c r="S32" s="517"/>
      <c r="T32" s="517"/>
      <c r="U32" s="517"/>
      <c r="V32" s="517"/>
      <c r="W32" s="517"/>
      <c r="X32" s="517"/>
      <c r="Y32" s="517"/>
      <c r="Z32" s="517"/>
      <c r="AA32" s="517"/>
    </row>
    <row r="33" spans="2:39">
      <c r="B33" s="251" t="str">
        <f t="shared" si="9"/>
        <v>Interruptions-related quality of service</v>
      </c>
      <c r="C33" s="253" t="s">
        <v>7</v>
      </c>
      <c r="D33" s="174">
        <f t="shared" si="8"/>
        <v>1.9584754783316678E-2</v>
      </c>
      <c r="E33" s="175">
        <f t="shared" si="8"/>
        <v>1.9394307605751858E-2</v>
      </c>
      <c r="F33" s="175">
        <f t="shared" si="8"/>
        <v>1.5515682425170154E-2</v>
      </c>
      <c r="G33" s="175">
        <f t="shared" si="8"/>
        <v>1.7037630831927317E-2</v>
      </c>
      <c r="H33" s="175">
        <f t="shared" si="8"/>
        <v>1.6423899537553893E-2</v>
      </c>
      <c r="I33" s="175">
        <f t="shared" si="8"/>
        <v>1.4250328463151262E-2</v>
      </c>
      <c r="J33" s="175">
        <f t="shared" si="8"/>
        <v>1.4112738545167489E-2</v>
      </c>
      <c r="K33" s="176">
        <f t="shared" si="8"/>
        <v>1.3689949375591088E-2</v>
      </c>
      <c r="L33" s="172"/>
      <c r="M33" s="176">
        <f>AVERAGE(D52:INDEX(D52:K52,0,MATCH('RFPR cover'!$C$7,$D$6:$K$6,0)))/AVERAGE($D$66:INDEX($D$66:$K$66,0,MATCH('RFPR cover'!$C$7,$D$6:$K$6,0)))</f>
        <v>1.7523341626933135E-2</v>
      </c>
      <c r="N33" s="176">
        <f t="shared" si="10"/>
        <v>1.6179416632447641E-2</v>
      </c>
      <c r="Q33" s="517"/>
      <c r="R33" s="517"/>
      <c r="S33" s="517"/>
      <c r="T33" s="517"/>
      <c r="U33" s="517"/>
      <c r="V33" s="517"/>
      <c r="W33" s="517"/>
      <c r="X33" s="517"/>
      <c r="Y33" s="517"/>
      <c r="Z33" s="517"/>
      <c r="AA33" s="517"/>
    </row>
    <row r="34" spans="2:39">
      <c r="B34" s="251" t="str">
        <f t="shared" si="9"/>
        <v>Incentive on connections engagement</v>
      </c>
      <c r="C34" s="253" t="s">
        <v>7</v>
      </c>
      <c r="D34" s="174">
        <f t="shared" si="8"/>
        <v>0</v>
      </c>
      <c r="E34" s="175">
        <f t="shared" si="8"/>
        <v>0</v>
      </c>
      <c r="F34" s="175">
        <f t="shared" si="8"/>
        <v>0</v>
      </c>
      <c r="G34" s="175">
        <f t="shared" si="8"/>
        <v>0</v>
      </c>
      <c r="H34" s="175">
        <f t="shared" si="8"/>
        <v>0</v>
      </c>
      <c r="I34" s="175">
        <f t="shared" si="8"/>
        <v>0</v>
      </c>
      <c r="J34" s="175">
        <f t="shared" si="8"/>
        <v>0</v>
      </c>
      <c r="K34" s="176">
        <f t="shared" si="8"/>
        <v>0</v>
      </c>
      <c r="L34" s="172"/>
      <c r="M34" s="176">
        <f>AVERAGE(D53:INDEX(D53:K53,0,MATCH('RFPR cover'!$C$7,$D$6:$K$6,0)))/AVERAGE($D$66:INDEX($D$66:$K$66,0,MATCH('RFPR cover'!$C$7,$D$6:$K$6,0)))</f>
        <v>0</v>
      </c>
      <c r="N34" s="176">
        <f t="shared" si="10"/>
        <v>0</v>
      </c>
      <c r="Q34" s="517"/>
      <c r="R34" s="517"/>
      <c r="S34" s="517"/>
      <c r="T34" s="517"/>
      <c r="U34" s="517"/>
      <c r="V34" s="517"/>
      <c r="W34" s="517"/>
      <c r="X34" s="517"/>
      <c r="Y34" s="517"/>
      <c r="Z34" s="517"/>
      <c r="AA34" s="517"/>
    </row>
    <row r="35" spans="2:39">
      <c r="B35" s="251" t="str">
        <f t="shared" si="9"/>
        <v>Time to Connect Incentive</v>
      </c>
      <c r="C35" s="253" t="s">
        <v>7</v>
      </c>
      <c r="D35" s="174">
        <f t="shared" si="8"/>
        <v>1.7677818133362163E-3</v>
      </c>
      <c r="E35" s="175">
        <f t="shared" si="8"/>
        <v>1.4911256992537047E-3</v>
      </c>
      <c r="F35" s="175">
        <f t="shared" si="8"/>
        <v>1.7528756060147064E-3</v>
      </c>
      <c r="G35" s="175">
        <f t="shared" si="8"/>
        <v>1.6222142716216296E-3</v>
      </c>
      <c r="H35" s="175">
        <f t="shared" si="8"/>
        <v>1.5351451301494619E-3</v>
      </c>
      <c r="I35" s="175">
        <f t="shared" si="8"/>
        <v>1.5173965305843591E-3</v>
      </c>
      <c r="J35" s="175">
        <f t="shared" si="8"/>
        <v>1.5761744046545497E-3</v>
      </c>
      <c r="K35" s="176">
        <f t="shared" si="8"/>
        <v>1.6117875478802548E-3</v>
      </c>
      <c r="L35" s="172"/>
      <c r="M35" s="176">
        <f>AVERAGE(D54:INDEX(D54:K54,0,MATCH('RFPR cover'!$C$7,$D$6:$K$6,0)))/AVERAGE($D$66:INDEX($D$66:$K$66,0,MATCH('RFPR cover'!$C$7,$D$6:$K$6,0)))</f>
        <v>1.6308879406074623E-3</v>
      </c>
      <c r="N35" s="176">
        <f t="shared" si="10"/>
        <v>1.6065425396946604E-3</v>
      </c>
      <c r="Q35" s="517"/>
      <c r="R35" s="517"/>
      <c r="S35" s="517"/>
      <c r="T35" s="517"/>
      <c r="U35" s="517"/>
      <c r="V35" s="517"/>
      <c r="W35" s="517"/>
      <c r="X35" s="517"/>
      <c r="Y35" s="517"/>
      <c r="Z35" s="517"/>
      <c r="AA35" s="517"/>
    </row>
    <row r="36" spans="2:39">
      <c r="B36" s="251" t="str">
        <f t="shared" si="9"/>
        <v>Losses discretionary reward scheme</v>
      </c>
      <c r="C36" s="253" t="s">
        <v>7</v>
      </c>
      <c r="D36" s="174">
        <f t="shared" si="8"/>
        <v>0</v>
      </c>
      <c r="E36" s="175">
        <f t="shared" si="8"/>
        <v>4.536680141696341E-5</v>
      </c>
      <c r="F36" s="175">
        <f t="shared" si="8"/>
        <v>0</v>
      </c>
      <c r="G36" s="175">
        <f t="shared" si="8"/>
        <v>0</v>
      </c>
      <c r="H36" s="175">
        <f t="shared" si="8"/>
        <v>0</v>
      </c>
      <c r="I36" s="175">
        <f t="shared" si="8"/>
        <v>0</v>
      </c>
      <c r="J36" s="175">
        <f t="shared" si="8"/>
        <v>0</v>
      </c>
      <c r="K36" s="176">
        <f t="shared" si="8"/>
        <v>0</v>
      </c>
      <c r="L36" s="172"/>
      <c r="M36" s="176">
        <f>AVERAGE(D55:INDEX(D55:K55,0,MATCH('RFPR cover'!$C$7,$D$6:$K$6,0)))/AVERAGE($D$66:INDEX($D$66:$K$66,0,MATCH('RFPR cover'!$C$7,$D$6:$K$6,0)))</f>
        <v>8.5307993560573402E-6</v>
      </c>
      <c r="N36" s="176">
        <f t="shared" si="10"/>
        <v>5.2554187481474696E-6</v>
      </c>
      <c r="Q36" s="517"/>
      <c r="R36" s="517"/>
      <c r="S36" s="517"/>
      <c r="T36" s="517"/>
      <c r="U36" s="517"/>
      <c r="V36" s="517"/>
      <c r="W36" s="517"/>
      <c r="X36" s="517"/>
      <c r="Y36" s="517"/>
      <c r="Z36" s="517"/>
      <c r="AA36" s="517"/>
    </row>
    <row r="37" spans="2:39">
      <c r="B37" s="251" t="str">
        <f t="shared" si="9"/>
        <v xml:space="preserve">Network Innovation </v>
      </c>
      <c r="C37" s="253" t="s">
        <v>7</v>
      </c>
      <c r="D37" s="174">
        <f t="shared" si="8"/>
        <v>-7.5839077136840945E-5</v>
      </c>
      <c r="E37" s="175">
        <f t="shared" si="8"/>
        <v>1.7784356457269366E-3</v>
      </c>
      <c r="F37" s="175">
        <f t="shared" si="8"/>
        <v>2.708993940038518E-4</v>
      </c>
      <c r="G37" s="175">
        <f t="shared" si="8"/>
        <v>-2.6617970546132408E-4</v>
      </c>
      <c r="H37" s="175">
        <f t="shared" si="8"/>
        <v>-3.2166145152262376E-4</v>
      </c>
      <c r="I37" s="175">
        <f t="shared" si="8"/>
        <v>-5.5660807651032455E-4</v>
      </c>
      <c r="J37" s="175">
        <f t="shared" si="8"/>
        <v>-5.0301884526146351E-4</v>
      </c>
      <c r="K37" s="176">
        <f t="shared" si="8"/>
        <v>-5.5845848057810711E-4</v>
      </c>
      <c r="L37" s="172"/>
      <c r="M37" s="176">
        <f>AVERAGE(D56:INDEX(D56:K56,0,MATCH('RFPR cover'!$C$7,$D$6:$K$6,0)))/AVERAGE($D$66:INDEX($D$66:$K$66,0,MATCH('RFPR cover'!$C$7,$D$6:$K$6,0)))</f>
        <v>2.4604136125143405E-4</v>
      </c>
      <c r="N37" s="176">
        <f t="shared" si="10"/>
        <v>-5.5543682508413562E-5</v>
      </c>
      <c r="Q37" s="517"/>
      <c r="R37" s="517"/>
      <c r="S37" s="517"/>
      <c r="T37" s="517"/>
      <c r="U37" s="517"/>
      <c r="V37" s="517"/>
      <c r="W37" s="517"/>
      <c r="X37" s="517"/>
      <c r="Y37" s="517"/>
      <c r="Z37" s="517"/>
      <c r="AA37" s="517"/>
    </row>
    <row r="38" spans="2:39">
      <c r="B38" s="251" t="str">
        <f>B57</f>
        <v>Penalties and fines</v>
      </c>
      <c r="C38" s="253" t="s">
        <v>7</v>
      </c>
      <c r="D38" s="184">
        <f t="shared" si="8"/>
        <v>-4.0539181119099541E-7</v>
      </c>
      <c r="E38" s="185">
        <f t="shared" si="8"/>
        <v>-1.5514265890760057E-7</v>
      </c>
      <c r="F38" s="185">
        <f t="shared" si="8"/>
        <v>-5.8503868417112703E-8</v>
      </c>
      <c r="G38" s="185">
        <f t="shared" si="8"/>
        <v>0</v>
      </c>
      <c r="H38" s="185">
        <f t="shared" si="8"/>
        <v>-1.1310306216712748E-5</v>
      </c>
      <c r="I38" s="185">
        <f t="shared" si="8"/>
        <v>-2.3848010710035848E-6</v>
      </c>
      <c r="J38" s="185">
        <f t="shared" si="8"/>
        <v>-2.4256340059044073E-6</v>
      </c>
      <c r="K38" s="186">
        <f t="shared" si="8"/>
        <v>-2.4181724688749453E-6</v>
      </c>
      <c r="L38" s="172"/>
      <c r="M38" s="186">
        <f>AVERAGE(D57:INDEX(D57:K57,0,MATCH('RFPR cover'!$C$7,$D$6:$K$6,0)))/AVERAGE($D$66:INDEX($D$66:$K$66,0,MATCH('RFPR cover'!$C$7,$D$6:$K$6,0)))</f>
        <v>-2.6125530787186939E-6</v>
      </c>
      <c r="N38" s="186">
        <f t="shared" si="10"/>
        <v>-2.5344588493165275E-6</v>
      </c>
      <c r="Q38" s="517"/>
      <c r="R38" s="517"/>
      <c r="S38" s="517"/>
      <c r="T38" s="517"/>
      <c r="U38" s="517"/>
      <c r="V38" s="517"/>
      <c r="W38" s="517"/>
      <c r="X38" s="517"/>
      <c r="Y38" s="517"/>
      <c r="Z38" s="517"/>
      <c r="AA38" s="517"/>
    </row>
    <row r="39" spans="2:39">
      <c r="B39" s="252" t="str">
        <f>B58</f>
        <v>RoRE - Operational performance</v>
      </c>
      <c r="C39" s="253" t="s">
        <v>7</v>
      </c>
      <c r="D39" s="187">
        <f t="shared" ref="D39:K39" si="11">SUM(D29:D38)</f>
        <v>9.1391042195375055E-2</v>
      </c>
      <c r="E39" s="188">
        <f t="shared" si="11"/>
        <v>9.684100288388886E-2</v>
      </c>
      <c r="F39" s="188">
        <f t="shared" si="11"/>
        <v>6.2415618901996026E-2</v>
      </c>
      <c r="G39" s="188">
        <f t="shared" si="11"/>
        <v>0.10685001927349425</v>
      </c>
      <c r="H39" s="188">
        <f t="shared" si="11"/>
        <v>9.1400390067503001E-2</v>
      </c>
      <c r="I39" s="188">
        <f t="shared" si="11"/>
        <v>0.10423878865140943</v>
      </c>
      <c r="J39" s="188">
        <f t="shared" si="11"/>
        <v>0.10054329775595537</v>
      </c>
      <c r="K39" s="189">
        <f t="shared" si="11"/>
        <v>9.5744837123923079E-2</v>
      </c>
      <c r="L39" s="173"/>
      <c r="M39" s="189">
        <f>SUM(M29:M38)</f>
        <v>9.0029067129249032E-2</v>
      </c>
      <c r="N39" s="189">
        <f>SUM(N29:N38)</f>
        <v>9.3957313194413083E-2</v>
      </c>
      <c r="Q39" s="517"/>
      <c r="R39" s="517"/>
      <c r="S39" s="517"/>
      <c r="T39" s="517"/>
      <c r="U39" s="517"/>
      <c r="V39" s="517"/>
      <c r="W39" s="517"/>
      <c r="X39" s="517"/>
      <c r="Y39" s="517"/>
      <c r="Z39" s="517"/>
      <c r="AA39" s="517"/>
    </row>
    <row r="40" spans="2:39">
      <c r="B40" s="251" t="s">
        <v>458</v>
      </c>
      <c r="C40" s="253" t="s">
        <v>7</v>
      </c>
      <c r="D40" s="174">
        <f>(D59+D60)/D$66</f>
        <v>-1.411909397245451E-2</v>
      </c>
      <c r="E40" s="175">
        <f t="shared" ref="E40:K40" si="12">(E59+E60)/E$66</f>
        <v>-3.6602976943966685E-3</v>
      </c>
      <c r="F40" s="175">
        <f t="shared" si="12"/>
        <v>8.8515228867736377E-3</v>
      </c>
      <c r="G40" s="175">
        <f t="shared" si="12"/>
        <v>1.6572023380216545E-3</v>
      </c>
      <c r="H40" s="175">
        <f t="shared" si="12"/>
        <v>-6.3259256301510872E-3</v>
      </c>
      <c r="I40" s="175">
        <f t="shared" si="12"/>
        <v>-2.1571828071935344E-2</v>
      </c>
      <c r="J40" s="175">
        <f t="shared" si="12"/>
        <v>-2.1903498497728956E-2</v>
      </c>
      <c r="K40" s="176">
        <f t="shared" si="12"/>
        <v>-2.3595370155371494E-2</v>
      </c>
      <c r="L40" s="172"/>
      <c r="M40" s="176">
        <f>(AVERAGE(D59:INDEX(D59:K59,0,MATCH('RFPR cover'!$C$7,$D$6:$K$6,0)))+AVERAGE(D60:INDEX(D60:K60,0,MATCH('RFPR cover'!$C$7,$D$6:$K$6,0))))/AVERAGE($D$66:INDEX($D$66:$K$66,0,MATCH('RFPR cover'!$C$7,$D$6:$K$6,0)))</f>
        <v>-2.6420228595179099E-3</v>
      </c>
      <c r="N40" s="176">
        <f>(AVERAGE(D59:K59)+AVERAGE(D60:K60))/AVERAGE($D$66:$K$66)</f>
        <v>-1.0204150336879225E-2</v>
      </c>
      <c r="Q40" s="517"/>
      <c r="R40" s="517"/>
      <c r="S40" s="517"/>
      <c r="T40" s="517"/>
      <c r="U40" s="517"/>
      <c r="V40" s="517"/>
      <c r="W40" s="517"/>
      <c r="X40" s="517"/>
      <c r="Y40" s="517"/>
      <c r="Z40" s="517"/>
      <c r="AA40" s="517"/>
    </row>
    <row r="41" spans="2:39">
      <c r="B41" s="251" t="s">
        <v>459</v>
      </c>
      <c r="C41" s="253" t="s">
        <v>7</v>
      </c>
      <c r="D41" s="174">
        <f>(D61+D62)/D$66</f>
        <v>-8.1197612336357857E-3</v>
      </c>
      <c r="E41" s="175">
        <f t="shared" ref="E41:K41" si="13">(E61+E62)/E$66</f>
        <v>4.2553208015585191E-3</v>
      </c>
      <c r="F41" s="175">
        <f t="shared" si="13"/>
        <v>-1.2412556876056759E-3</v>
      </c>
      <c r="G41" s="175">
        <f t="shared" si="13"/>
        <v>-2.5422374296689356E-3</v>
      </c>
      <c r="H41" s="175">
        <f t="shared" si="13"/>
        <v>-8.0829115789409888E-3</v>
      </c>
      <c r="I41" s="175">
        <f t="shared" si="13"/>
        <v>-9.768381571799354E-3</v>
      </c>
      <c r="J41" s="175">
        <f t="shared" si="13"/>
        <v>-1.0824473255885455E-2</v>
      </c>
      <c r="K41" s="176">
        <f t="shared" si="13"/>
        <v>-1.0459984559480403E-2</v>
      </c>
      <c r="L41" s="172"/>
      <c r="M41" s="176">
        <f>(AVERAGE(D61:INDEX(D61:K61,0,MATCH('RFPR cover'!$C$7,$D$6:$K$6,0)))+AVERAGE(D62:INDEX(D62:K62,0,MATCH('RFPR cover'!$C$7,$D$6:$K$6,0))))/AVERAGE($D$66:INDEX($D$66:$K$66,0,MATCH('RFPR cover'!$C$7,$D$6:$K$6,0)))</f>
        <v>-3.2723431489095206E-3</v>
      </c>
      <c r="N41" s="176">
        <f>(AVERAGE(D61:K61)+AVERAGE(D62:K62))/AVERAGE($D$66:$K$66)</f>
        <v>-5.9869776643156625E-3</v>
      </c>
      <c r="Q41" s="517"/>
      <c r="R41" s="517"/>
      <c r="S41" s="517"/>
      <c r="T41" s="517"/>
      <c r="U41" s="517"/>
      <c r="V41" s="517"/>
      <c r="W41" s="517"/>
      <c r="X41" s="517"/>
      <c r="Y41" s="517"/>
      <c r="Z41" s="517"/>
      <c r="AA41" s="517"/>
    </row>
    <row r="42" spans="2:39">
      <c r="B42" s="252" t="str">
        <f>B63</f>
        <v>RoRE - including financing and tax</v>
      </c>
      <c r="C42" s="253" t="s">
        <v>7</v>
      </c>
      <c r="D42" s="190">
        <f>SUM(D39:D41)</f>
        <v>6.915218698928477E-2</v>
      </c>
      <c r="E42" s="191">
        <f t="shared" ref="E42:K42" si="14">SUM(E39:E41)</f>
        <v>9.7436025991050709E-2</v>
      </c>
      <c r="F42" s="191">
        <f t="shared" si="14"/>
        <v>7.0025886101163989E-2</v>
      </c>
      <c r="G42" s="191">
        <f t="shared" si="14"/>
        <v>0.10596498418184695</v>
      </c>
      <c r="H42" s="191">
        <f t="shared" si="14"/>
        <v>7.699155285841093E-2</v>
      </c>
      <c r="I42" s="191">
        <f t="shared" si="14"/>
        <v>7.2898579007674727E-2</v>
      </c>
      <c r="J42" s="191">
        <f t="shared" si="14"/>
        <v>6.781532600234097E-2</v>
      </c>
      <c r="K42" s="192">
        <f t="shared" si="14"/>
        <v>6.1689482409071177E-2</v>
      </c>
      <c r="L42" s="173"/>
      <c r="M42" s="192">
        <f>SUM(M39:M41)</f>
        <v>8.4114701120821603E-2</v>
      </c>
      <c r="N42" s="192">
        <f>SUM(N39:N41)</f>
        <v>7.7766185193218193E-2</v>
      </c>
      <c r="Q42" s="517"/>
      <c r="R42" s="517"/>
      <c r="S42" s="517"/>
      <c r="T42" s="517"/>
      <c r="U42" s="517"/>
      <c r="V42" s="517"/>
      <c r="W42" s="517"/>
      <c r="X42" s="517"/>
      <c r="Y42" s="517"/>
      <c r="Z42" s="517"/>
      <c r="AA42" s="517"/>
    </row>
    <row r="43" spans="2:39" s="31" customFormat="1">
      <c r="B43" s="469"/>
      <c r="C43" s="470"/>
      <c r="D43" s="471"/>
      <c r="E43" s="471"/>
      <c r="F43" s="471"/>
      <c r="G43" s="471"/>
      <c r="H43" s="471"/>
      <c r="I43" s="471"/>
      <c r="J43" s="471"/>
      <c r="K43" s="471"/>
      <c r="L43" s="472"/>
      <c r="M43" s="471"/>
      <c r="N43" s="471"/>
      <c r="Q43" s="517"/>
      <c r="R43" s="517"/>
      <c r="S43" s="517"/>
      <c r="T43" s="517"/>
      <c r="U43" s="517"/>
      <c r="V43" s="517"/>
      <c r="W43" s="517"/>
      <c r="X43" s="517"/>
      <c r="Y43" s="517"/>
      <c r="Z43" s="517"/>
      <c r="AA43" s="517"/>
      <c r="AB43"/>
      <c r="AC43"/>
      <c r="AD43"/>
      <c r="AE43"/>
      <c r="AF43"/>
      <c r="AG43"/>
      <c r="AH43"/>
      <c r="AI43"/>
      <c r="AJ43"/>
      <c r="AK43"/>
      <c r="AL43"/>
      <c r="AM43"/>
    </row>
    <row r="44" spans="2:39" s="31" customFormat="1">
      <c r="B44" s="469"/>
      <c r="C44" s="470"/>
      <c r="D44" s="471"/>
      <c r="E44" s="471"/>
      <c r="F44" s="471"/>
      <c r="G44" s="471"/>
      <c r="H44" s="471"/>
      <c r="I44" s="471"/>
      <c r="J44" s="471"/>
      <c r="K44" s="471"/>
      <c r="L44" s="472"/>
      <c r="M44" s="471"/>
      <c r="N44" s="471"/>
      <c r="Q44" s="517"/>
      <c r="R44" s="517"/>
      <c r="S44" s="517"/>
      <c r="T44" s="517"/>
      <c r="U44" s="517"/>
      <c r="V44" s="517"/>
      <c r="W44" s="517"/>
      <c r="X44" s="517"/>
      <c r="Y44" s="517"/>
      <c r="Z44" s="517"/>
      <c r="AA44" s="517"/>
      <c r="AB44"/>
      <c r="AC44"/>
      <c r="AD44"/>
      <c r="AE44"/>
      <c r="AF44"/>
      <c r="AG44"/>
      <c r="AH44"/>
      <c r="AI44"/>
      <c r="AJ44"/>
      <c r="AK44"/>
      <c r="AL44"/>
      <c r="AM44"/>
    </row>
    <row r="45" spans="2:39" s="31" customFormat="1">
      <c r="B45" s="523" t="s">
        <v>394</v>
      </c>
      <c r="C45" s="524"/>
      <c r="D45" s="525"/>
      <c r="E45" s="525"/>
      <c r="F45" s="525"/>
      <c r="G45" s="525"/>
      <c r="H45" s="525"/>
      <c r="I45" s="525"/>
      <c r="J45" s="525"/>
      <c r="K45" s="525"/>
      <c r="L45" s="526"/>
      <c r="M45" s="525"/>
      <c r="N45" s="525"/>
      <c r="O45" s="216"/>
      <c r="Q45" s="517"/>
      <c r="R45" s="517"/>
      <c r="S45" s="517"/>
      <c r="T45" s="517"/>
      <c r="U45" s="517"/>
      <c r="V45" s="517"/>
      <c r="W45" s="517"/>
      <c r="X45" s="517"/>
      <c r="Y45" s="517"/>
      <c r="Z45" s="517"/>
      <c r="AA45" s="517"/>
      <c r="AB45"/>
      <c r="AC45"/>
      <c r="AD45"/>
      <c r="AE45"/>
      <c r="AF45"/>
      <c r="AG45"/>
      <c r="AH45"/>
      <c r="AI45"/>
      <c r="AJ45"/>
      <c r="AK45"/>
      <c r="AL45"/>
      <c r="AM45"/>
    </row>
    <row r="46" spans="2:39" s="31" customFormat="1">
      <c r="B46" s="528" t="str">
        <f>"Input values provided in "&amp;'RFPR cover'!C14&amp;" prices"</f>
        <v>Input values provided in £m 12/13 prices</v>
      </c>
      <c r="C46" s="527"/>
      <c r="D46" s="527"/>
      <c r="E46" s="527"/>
      <c r="F46" s="527"/>
      <c r="G46" s="527"/>
      <c r="H46" s="527"/>
      <c r="I46" s="527"/>
      <c r="J46" s="527"/>
      <c r="K46" s="527"/>
      <c r="L46" s="527"/>
      <c r="M46" s="527"/>
      <c r="N46" s="527"/>
      <c r="O46" s="527"/>
      <c r="Q46" s="517"/>
      <c r="R46" s="517"/>
      <c r="S46" s="517"/>
      <c r="T46" s="517"/>
      <c r="U46" s="517"/>
      <c r="V46" s="517"/>
      <c r="W46" s="517"/>
      <c r="X46" s="517"/>
      <c r="Y46" s="517"/>
      <c r="Z46" s="517"/>
      <c r="AA46" s="517"/>
    </row>
    <row r="47" spans="2:39">
      <c r="Q47" s="517"/>
      <c r="R47" s="517"/>
      <c r="S47" s="517"/>
      <c r="T47" s="517"/>
      <c r="U47" s="517"/>
      <c r="V47" s="517"/>
      <c r="W47" s="517"/>
      <c r="X47" s="517"/>
      <c r="Y47" s="517"/>
      <c r="Z47" s="517"/>
      <c r="AA47" s="517"/>
    </row>
    <row r="48" spans="2:39">
      <c r="B48" s="246" t="s">
        <v>228</v>
      </c>
      <c r="C48" s="341" t="str">
        <f>'RFPR cover'!$C$14</f>
        <v>£m 12/13</v>
      </c>
      <c r="D48" s="177">
        <f>'R9 - RAV'!D50</f>
        <v>43.070759569366267</v>
      </c>
      <c r="E48" s="178">
        <f>'R9 - RAV'!E50</f>
        <v>44.377962952383342</v>
      </c>
      <c r="F48" s="178">
        <f>'R9 - RAV'!F50</f>
        <v>45.186905960029968</v>
      </c>
      <c r="G48" s="178">
        <f>'R9 - RAV'!G50</f>
        <v>45.625205110772448</v>
      </c>
      <c r="H48" s="178">
        <f>'R9 - RAV'!H50</f>
        <v>46.149980546692461</v>
      </c>
      <c r="I48" s="178">
        <f>'R9 - RAV'!I50</f>
        <v>46.764428790735167</v>
      </c>
      <c r="J48" s="178">
        <f>'R9 - RAV'!J50</f>
        <v>47.741635505415147</v>
      </c>
      <c r="K48" s="179">
        <f>'R9 - RAV'!K50</f>
        <v>49.043084753203821</v>
      </c>
      <c r="M48" s="94">
        <f>SUM(D48:INDEX(D48:K48,0,MATCH('RFPR cover'!$C$7,$D$6:$K$6,0)))</f>
        <v>224.41081413924448</v>
      </c>
      <c r="N48" s="94">
        <f>SUM(D48:K48)</f>
        <v>367.95996318859858</v>
      </c>
      <c r="Q48" s="517"/>
      <c r="R48" s="517"/>
      <c r="S48" s="517"/>
      <c r="T48" s="517"/>
      <c r="U48" s="517"/>
      <c r="V48" s="517"/>
      <c r="W48" s="517"/>
      <c r="X48" s="517"/>
      <c r="Y48" s="517"/>
      <c r="Z48" s="517"/>
      <c r="AA48" s="517"/>
    </row>
    <row r="49" spans="2:27">
      <c r="B49" s="246" t="s">
        <v>102</v>
      </c>
      <c r="C49" s="341" t="str">
        <f>'RFPR cover'!$C$14</f>
        <v>£m 12/13</v>
      </c>
      <c r="D49" s="250">
        <f>'R4 - Totex'!D35+'R4 - Totex'!D63</f>
        <v>-3.6876351433022077</v>
      </c>
      <c r="E49" s="250">
        <f>'R4 - Totex'!E35+'R4 - Totex'!E63</f>
        <v>-1.4146974715207747</v>
      </c>
      <c r="F49" s="250">
        <f>'R4 - Totex'!F35+'R4 - Totex'!F63</f>
        <v>-21.490159447939682</v>
      </c>
      <c r="G49" s="250">
        <f>'R4 - Totex'!G35+'R4 - Totex'!G63</f>
        <v>15.374382377545217</v>
      </c>
      <c r="H49" s="250">
        <f>'R4 - Totex'!H35+'R4 - Totex'!H63</f>
        <v>5.9329301378250303</v>
      </c>
      <c r="I49" s="250">
        <f>'R4 - Totex'!I35+'R4 - Totex'!I63</f>
        <v>15.835072864712773</v>
      </c>
      <c r="J49" s="250">
        <f>'R4 - Totex'!J35+'R4 - Totex'!J63</f>
        <v>9.0056712705350659</v>
      </c>
      <c r="K49" s="250">
        <f>'R4 - Totex'!K35+'R4 - Totex'!K63</f>
        <v>3.0343070018654168</v>
      </c>
      <c r="M49" s="94">
        <f>SUM(D49:INDEX(D49:K49,0,MATCH('RFPR cover'!$C$7,$D$6:$K$6,0)))</f>
        <v>-5.2851795473924188</v>
      </c>
      <c r="N49" s="94">
        <f>SUM(D49:K49)</f>
        <v>22.58987158972084</v>
      </c>
      <c r="Q49" s="517"/>
      <c r="R49" s="517"/>
      <c r="S49" s="517"/>
      <c r="T49" s="517"/>
      <c r="U49" s="517"/>
      <c r="V49" s="517"/>
      <c r="W49" s="517"/>
      <c r="X49" s="517"/>
      <c r="Y49" s="517"/>
      <c r="Z49" s="517"/>
      <c r="AA49" s="517"/>
    </row>
    <row r="50" spans="2:27">
      <c r="B50" s="248" t="s">
        <v>110</v>
      </c>
      <c r="C50" s="341" t="str">
        <f>'RFPR cover'!$C$14</f>
        <v>£m 12/13</v>
      </c>
      <c r="D50" s="241">
        <f>'R4 - Totex'!D79</f>
        <v>5.7024957403533199</v>
      </c>
      <c r="E50" s="180">
        <f>'R4 - Totex'!E79</f>
        <v>5.5739310719733419</v>
      </c>
      <c r="F50" s="180">
        <f>'R4 - Totex'!F79</f>
        <v>5.0247560973439462</v>
      </c>
      <c r="G50" s="180">
        <f>'R4 - Totex'!G79</f>
        <v>5.1099642921795638</v>
      </c>
      <c r="H50" s="180">
        <f>'R4 - Totex'!H79</f>
        <v>5.0525085204104005</v>
      </c>
      <c r="I50" s="180">
        <f>'R4 - Totex'!I79</f>
        <v>5.2541314153863325</v>
      </c>
      <c r="J50" s="180">
        <f>'R4 - Totex'!J79</f>
        <v>5.5203538466114397</v>
      </c>
      <c r="K50" s="181">
        <f>'R4 - Totex'!K79</f>
        <v>5.3679555522841733</v>
      </c>
      <c r="M50" s="94">
        <f>SUM(D50:INDEX(D50:K50,0,MATCH('RFPR cover'!$C$7,$D$6:$K$6,0)))</f>
        <v>26.463655722260569</v>
      </c>
      <c r="N50" s="94">
        <f t="shared" ref="N50:N57" si="15">SUM(D50:K50)</f>
        <v>42.606096536542516</v>
      </c>
      <c r="Q50" s="517"/>
      <c r="R50" s="517"/>
      <c r="S50" s="517"/>
      <c r="T50" s="517"/>
      <c r="U50" s="517"/>
      <c r="V50" s="517"/>
      <c r="W50" s="517"/>
      <c r="X50" s="517"/>
      <c r="Y50" s="517"/>
      <c r="Z50" s="517"/>
      <c r="AA50" s="517"/>
    </row>
    <row r="51" spans="2:27">
      <c r="B51" s="249" t="str">
        <f>'R5 - Output Incentives'!B39</f>
        <v>Broad measure of customer service</v>
      </c>
      <c r="C51" s="341" t="str">
        <f>'RFPR cover'!$C$14</f>
        <v>£m 12/13</v>
      </c>
      <c r="D51" s="241">
        <f>'R5 - Output Incentives'!D39</f>
        <v>4.5018990000000008</v>
      </c>
      <c r="E51" s="180">
        <f>'R5 - Output Incentives'!E39</f>
        <v>4.4062380000000001</v>
      </c>
      <c r="F51" s="180">
        <f>'R5 - Output Incentives'!F39</f>
        <v>4.4580230199890138</v>
      </c>
      <c r="G51" s="180">
        <f>'R5 - Output Incentives'!G39</f>
        <v>4.558939200000002</v>
      </c>
      <c r="H51" s="180">
        <f>'R5 - Output Incentives'!H39</f>
        <v>4.7115</v>
      </c>
      <c r="I51" s="180">
        <f>'R5 - Output Incentives'!I39</f>
        <v>4.7115</v>
      </c>
      <c r="J51" s="180">
        <f>'R5 - Output Incentives'!J39</f>
        <v>4.7115</v>
      </c>
      <c r="K51" s="181">
        <f>'R5 - Output Incentives'!K39</f>
        <v>4.7115</v>
      </c>
      <c r="M51" s="94">
        <f>SUM(D51:INDEX(D51:K51,0,MATCH('RFPR cover'!$C$7,$D$6:$K$6,0)))</f>
        <v>22.636599219989016</v>
      </c>
      <c r="N51" s="94">
        <f t="shared" si="15"/>
        <v>36.771099219989019</v>
      </c>
      <c r="Q51" s="517"/>
      <c r="R51" s="517"/>
      <c r="S51" s="517"/>
      <c r="T51" s="517"/>
      <c r="U51" s="517"/>
      <c r="V51" s="517"/>
      <c r="W51" s="517"/>
      <c r="X51" s="517"/>
      <c r="Y51" s="517"/>
      <c r="Z51" s="517"/>
      <c r="AA51" s="517"/>
    </row>
    <row r="52" spans="2:27">
      <c r="B52" s="249" t="str">
        <f>'R5 - Output Incentives'!B40</f>
        <v>Interruptions-related quality of service</v>
      </c>
      <c r="C52" s="341" t="str">
        <f>'RFPR cover'!$C$14</f>
        <v>£m 12/13</v>
      </c>
      <c r="D52" s="241">
        <f>'R5 - Output Incentives'!D40</f>
        <v>13.851000000000003</v>
      </c>
      <c r="E52" s="180">
        <f>'R5 - Output Incentives'!E40</f>
        <v>13.851000000000003</v>
      </c>
      <c r="F52" s="180">
        <f>'R5 - Output Incentives'!F40</f>
        <v>11.471620891991474</v>
      </c>
      <c r="G52" s="180">
        <f>'R5 - Output Incentives'!G40</f>
        <v>13.611499999999996</v>
      </c>
      <c r="H52" s="180">
        <f>'R5 - Output Incentives'!H40</f>
        <v>13.76858</v>
      </c>
      <c r="I52" s="180">
        <f>'R5 - Output Incentives'!I40</f>
        <v>11.61491996606992</v>
      </c>
      <c r="J52" s="180">
        <f>'R5 - Output Incentives'!J40</f>
        <v>11.073819966069919</v>
      </c>
      <c r="K52" s="181">
        <f>'R5 - Output Incentives'!K40</f>
        <v>10.504719966069919</v>
      </c>
      <c r="M52" s="94">
        <f>SUM(D52:INDEX(D52:K52,0,MATCH('RFPR cover'!$C$7,$D$6:$K$6,0)))</f>
        <v>66.553700891991468</v>
      </c>
      <c r="N52" s="94">
        <f t="shared" si="15"/>
        <v>99.747160790201221</v>
      </c>
      <c r="Q52" s="517"/>
      <c r="R52" s="517"/>
      <c r="S52" s="517"/>
      <c r="T52" s="517"/>
      <c r="U52" s="517"/>
      <c r="V52" s="517"/>
      <c r="W52" s="517"/>
      <c r="X52" s="517"/>
      <c r="Y52" s="517"/>
      <c r="Z52" s="517"/>
      <c r="AA52" s="517"/>
    </row>
    <row r="53" spans="2:27">
      <c r="B53" s="249" t="str">
        <f>'R5 - Output Incentives'!B41</f>
        <v>Incentive on connections engagement</v>
      </c>
      <c r="C53" s="341" t="str">
        <f>'RFPR cover'!$C$14</f>
        <v>£m 12/13</v>
      </c>
      <c r="D53" s="241">
        <f>'R5 - Output Incentives'!D41</f>
        <v>0</v>
      </c>
      <c r="E53" s="180">
        <f>'R5 - Output Incentives'!E41</f>
        <v>0</v>
      </c>
      <c r="F53" s="180">
        <f>'R5 - Output Incentives'!F41</f>
        <v>0</v>
      </c>
      <c r="G53" s="180">
        <f>'R5 - Output Incentives'!G41</f>
        <v>0</v>
      </c>
      <c r="H53" s="180">
        <f>'R5 - Output Incentives'!H41</f>
        <v>0</v>
      </c>
      <c r="I53" s="180">
        <f>'R5 - Output Incentives'!I41</f>
        <v>0</v>
      </c>
      <c r="J53" s="180">
        <f>'R5 - Output Incentives'!J41</f>
        <v>0</v>
      </c>
      <c r="K53" s="181">
        <f>'R5 - Output Incentives'!K41</f>
        <v>0</v>
      </c>
      <c r="M53" s="94">
        <f>SUM(D53:INDEX(D53:K53,0,MATCH('RFPR cover'!$C$7,$D$6:$K$6,0)))</f>
        <v>0</v>
      </c>
      <c r="N53" s="94">
        <f t="shared" si="15"/>
        <v>0</v>
      </c>
      <c r="Q53" s="517"/>
      <c r="R53" s="517"/>
      <c r="S53" s="517"/>
      <c r="T53" s="517"/>
      <c r="U53" s="517"/>
      <c r="V53" s="517"/>
      <c r="W53" s="517"/>
      <c r="X53" s="517"/>
      <c r="Y53" s="517"/>
      <c r="Z53" s="517"/>
      <c r="AA53" s="517"/>
    </row>
    <row r="54" spans="2:27">
      <c r="B54" s="249" t="str">
        <f>'R5 - Output Incentives'!B42</f>
        <v>Time to Connect Incentive</v>
      </c>
      <c r="C54" s="341" t="str">
        <f>'RFPR cover'!$C$14</f>
        <v>£m 12/13</v>
      </c>
      <c r="D54" s="241">
        <f>'R5 - Output Incentives'!D42</f>
        <v>1.2502350000000004</v>
      </c>
      <c r="E54" s="180">
        <f>'R5 - Output Incentives'!E42</f>
        <v>1.0649301063079839</v>
      </c>
      <c r="F54" s="180">
        <f>'R5 - Output Incentives'!F42</f>
        <v>1.2960000000000003</v>
      </c>
      <c r="G54" s="180">
        <f>'R5 - Output Incentives'!G42</f>
        <v>1.2960000000000003</v>
      </c>
      <c r="H54" s="180">
        <f>'R5 - Output Incentives'!H42</f>
        <v>1.2869518890896297</v>
      </c>
      <c r="I54" s="180">
        <f>'R5 - Output Incentives'!I42</f>
        <v>1.2367742473517762</v>
      </c>
      <c r="J54" s="180">
        <f>'R5 - Output Incentives'!J42</f>
        <v>1.2367742473517762</v>
      </c>
      <c r="K54" s="181">
        <f>'R5 - Output Incentives'!K42</f>
        <v>1.2367742473517762</v>
      </c>
      <c r="M54" s="94">
        <f>SUM(D54:INDEX(D54:K54,0,MATCH('RFPR cover'!$C$7,$D$6:$K$6,0)))</f>
        <v>6.1941169953976143</v>
      </c>
      <c r="N54" s="94">
        <f t="shared" si="15"/>
        <v>9.9044397374529431</v>
      </c>
      <c r="Q54" s="517"/>
      <c r="R54" s="517"/>
      <c r="S54" s="517"/>
      <c r="T54" s="517"/>
      <c r="U54" s="517"/>
      <c r="V54" s="517"/>
      <c r="W54" s="517"/>
      <c r="X54" s="517"/>
      <c r="Y54" s="517"/>
      <c r="Z54" s="517"/>
      <c r="AA54" s="517"/>
    </row>
    <row r="55" spans="2:27">
      <c r="B55" s="249" t="str">
        <f>'R5 - Output Incentives'!B43</f>
        <v>Losses discretionary reward scheme</v>
      </c>
      <c r="C55" s="341" t="str">
        <f>'RFPR cover'!$C$14</f>
        <v>£m 12/13</v>
      </c>
      <c r="D55" s="241">
        <f>'R5 - Output Incentives'!D43</f>
        <v>0</v>
      </c>
      <c r="E55" s="180">
        <f>'R5 - Output Incentives'!E43</f>
        <v>3.2400000000000005E-2</v>
      </c>
      <c r="F55" s="180">
        <f>'R5 - Output Incentives'!F43</f>
        <v>0</v>
      </c>
      <c r="G55" s="180">
        <f>'R5 - Output Incentives'!G43</f>
        <v>0</v>
      </c>
      <c r="H55" s="180">
        <f>'R5 - Output Incentives'!H43</f>
        <v>0</v>
      </c>
      <c r="I55" s="180">
        <f>'R5 - Output Incentives'!I43</f>
        <v>0</v>
      </c>
      <c r="J55" s="180">
        <f>'R5 - Output Incentives'!J43</f>
        <v>0</v>
      </c>
      <c r="K55" s="181">
        <f>'R5 - Output Incentives'!K43</f>
        <v>0</v>
      </c>
      <c r="M55" s="94">
        <f>SUM(D55:INDEX(D55:K55,0,MATCH('RFPR cover'!$C$7,$D$6:$K$6,0)))</f>
        <v>3.2400000000000005E-2</v>
      </c>
      <c r="N55" s="94">
        <f t="shared" si="15"/>
        <v>3.2400000000000005E-2</v>
      </c>
      <c r="Q55" s="517"/>
      <c r="R55" s="517"/>
      <c r="S55" s="517"/>
      <c r="T55" s="517"/>
      <c r="U55" s="517"/>
      <c r="V55" s="517"/>
      <c r="W55" s="517"/>
      <c r="X55" s="517"/>
      <c r="Y55" s="517"/>
      <c r="Z55" s="517"/>
      <c r="AA55" s="517"/>
    </row>
    <row r="56" spans="2:27">
      <c r="B56" s="246" t="s">
        <v>500</v>
      </c>
      <c r="C56" s="341" t="str">
        <f>'RFPR cover'!$C$14</f>
        <v>£m 12/13</v>
      </c>
      <c r="D56" s="241">
        <f>-'R6 - Innovation'!D28</f>
        <v>-5.3635956591971734E-2</v>
      </c>
      <c r="E56" s="180">
        <f>-'R6 - Innovation'!E28</f>
        <v>1.270120729737124</v>
      </c>
      <c r="F56" s="180">
        <f>-'R6 - Innovation'!F28</f>
        <v>0.20029123197578827</v>
      </c>
      <c r="G56" s="180">
        <f>-'R6 - Innovation'!G28</f>
        <v>-0.21265310280683916</v>
      </c>
      <c r="H56" s="180">
        <f>-'R6 - Innovation'!H28</f>
        <v>-0.26965711876638626</v>
      </c>
      <c r="I56" s="180">
        <f>-'R6 - Innovation'!I28</f>
        <v>-0.4536708243499607</v>
      </c>
      <c r="J56" s="180">
        <f>-'R6 - Innovation'!J28</f>
        <v>-0.39470299220368088</v>
      </c>
      <c r="K56" s="181">
        <f>-'R6 - Innovation'!K28</f>
        <v>-0.4285223991850311</v>
      </c>
      <c r="M56" s="94">
        <f>SUM(D56:INDEX(D56:K56,0,MATCH('RFPR cover'!$C$7,$D$6:$K$6,0)))</f>
        <v>0.93446578354771503</v>
      </c>
      <c r="N56" s="94">
        <f t="shared" si="15"/>
        <v>-0.34243043219095765</v>
      </c>
      <c r="Q56" s="517"/>
      <c r="R56" s="517"/>
      <c r="S56" s="517"/>
      <c r="T56" s="517"/>
      <c r="U56" s="517"/>
      <c r="V56" s="517"/>
      <c r="W56" s="517"/>
      <c r="X56" s="517"/>
      <c r="Y56" s="517"/>
      <c r="Z56" s="517"/>
      <c r="AA56" s="517"/>
    </row>
    <row r="57" spans="2:27">
      <c r="B57" s="246" t="s">
        <v>35</v>
      </c>
      <c r="C57" s="341" t="str">
        <f>'RFPR cover'!$C$14</f>
        <v>£m 12/13</v>
      </c>
      <c r="D57" s="242">
        <f>-'R13 - Other Activities '!D8</f>
        <v>-2.8670677978514695E-4</v>
      </c>
      <c r="E57" s="242">
        <f>-'R13 - Other Activities '!E8</f>
        <v>-1.1079957130781367E-4</v>
      </c>
      <c r="F57" s="242">
        <f>-'R13 - Other Activities '!F8</f>
        <v>-4.3255216290540327E-5</v>
      </c>
      <c r="G57" s="242">
        <f>-'R13 - Other Activities '!G8</f>
        <v>0</v>
      </c>
      <c r="H57" s="242">
        <f>-'R13 - Other Activities '!H8</f>
        <v>-9.4817223895720514E-3</v>
      </c>
      <c r="I57" s="242">
        <f>-'R13 - Other Activities '!I8</f>
        <v>-1.9437638680630915E-3</v>
      </c>
      <c r="J57" s="242">
        <f>-'R13 - Other Activities '!J8</f>
        <v>-1.9033183530605543E-3</v>
      </c>
      <c r="K57" s="242">
        <f>-'R13 - Other Activities '!K8</f>
        <v>-1.8555382432956908E-3</v>
      </c>
      <c r="M57" s="94">
        <f>SUM(D57:INDEX(D57:K57,0,MATCH('RFPR cover'!$C$7,$D$6:$K$6,0)))</f>
        <v>-9.9224839569555523E-3</v>
      </c>
      <c r="N57" s="94">
        <f t="shared" si="15"/>
        <v>-1.5625104421374887E-2</v>
      </c>
      <c r="Q57" s="517"/>
      <c r="R57" s="517"/>
      <c r="S57" s="517"/>
      <c r="T57" s="517"/>
      <c r="U57" s="517"/>
      <c r="V57" s="517"/>
      <c r="W57" s="517"/>
      <c r="X57" s="517"/>
      <c r="Y57" s="517"/>
      <c r="Z57" s="517"/>
      <c r="AA57" s="517"/>
    </row>
    <row r="58" spans="2:27">
      <c r="B58" s="247" t="s">
        <v>103</v>
      </c>
      <c r="C58" s="341" t="str">
        <f>'RFPR cover'!$C$14</f>
        <v>£m 12/13</v>
      </c>
      <c r="D58" s="243">
        <f t="shared" ref="D58:K58" si="16">SUM(D48:D57)</f>
        <v>64.634831503045618</v>
      </c>
      <c r="E58" s="142">
        <f t="shared" si="16"/>
        <v>69.161774589309715</v>
      </c>
      <c r="F58" s="142">
        <f t="shared" si="16"/>
        <v>46.147394498174215</v>
      </c>
      <c r="G58" s="142">
        <f t="shared" si="16"/>
        <v>85.363337877690384</v>
      </c>
      <c r="H58" s="142">
        <f t="shared" si="16"/>
        <v>76.623312252861567</v>
      </c>
      <c r="I58" s="142">
        <f t="shared" si="16"/>
        <v>84.961212696037933</v>
      </c>
      <c r="J58" s="142">
        <f t="shared" si="16"/>
        <v>78.893148525426611</v>
      </c>
      <c r="K58" s="143">
        <f t="shared" si="16"/>
        <v>73.467963583346787</v>
      </c>
      <c r="M58" s="141">
        <f>SUM(M48:M57)</f>
        <v>341.93065072108146</v>
      </c>
      <c r="N58" s="143">
        <f>SUM(N48:N57)</f>
        <v>579.25297552589268</v>
      </c>
      <c r="Q58" s="517"/>
      <c r="R58" s="517"/>
      <c r="S58" s="517"/>
      <c r="T58" s="517"/>
      <c r="U58" s="517"/>
      <c r="V58" s="517"/>
      <c r="W58" s="517"/>
      <c r="X58" s="517"/>
      <c r="Y58" s="517"/>
      <c r="Z58" s="517"/>
      <c r="AA58" s="517"/>
    </row>
    <row r="59" spans="2:27">
      <c r="B59" s="246" t="s">
        <v>439</v>
      </c>
      <c r="C59" s="341" t="str">
        <f>'RFPR cover'!$C$14</f>
        <v>£m 12/13</v>
      </c>
      <c r="D59" s="241">
        <f>'R7 - Financing'!D88+'R10 - Tax'!D89</f>
        <v>-10.985333352452846</v>
      </c>
      <c r="E59" s="241">
        <f>'R7 - Financing'!E88+'R10 - Tax'!E89</f>
        <v>-3.0589681958234451</v>
      </c>
      <c r="F59" s="241">
        <f>'R7 - Financing'!F88+'R10 - Tax'!F89</f>
        <v>6.1004087564843958</v>
      </c>
      <c r="G59" s="241">
        <f>'R7 - Financing'!G88+'R10 - Tax'!G89</f>
        <v>-7.2439957225944049E-3</v>
      </c>
      <c r="H59" s="241">
        <f>'R7 - Financing'!H88+'R10 - Tax'!H89</f>
        <v>-7.4562549508478551</v>
      </c>
      <c r="I59" s="241">
        <f>'R7 - Financing'!I88+'R10 - Tax'!I89</f>
        <v>-19.542306415537976</v>
      </c>
      <c r="J59" s="241">
        <f>'R7 - Financing'!J88+'R10 - Tax'!J89</f>
        <v>-17.929312463592851</v>
      </c>
      <c r="K59" s="241">
        <f>'R7 - Financing'!K88+'R10 - Tax'!K89</f>
        <v>-18.122451605100185</v>
      </c>
      <c r="M59" s="94">
        <f>SUM(D59:INDEX(D59:K59,0,MATCH('RFPR cover'!$C$7,$D$6:$K$6,0)))</f>
        <v>-15.407391738362344</v>
      </c>
      <c r="N59" s="94">
        <f>SUM(D59:K59)</f>
        <v>-71.001462222593361</v>
      </c>
      <c r="Q59" s="517"/>
      <c r="R59" s="517"/>
      <c r="S59" s="517"/>
      <c r="T59" s="517"/>
      <c r="U59" s="517"/>
      <c r="V59" s="517"/>
      <c r="W59" s="517"/>
      <c r="X59" s="517"/>
      <c r="Y59" s="517"/>
      <c r="Z59" s="517"/>
      <c r="AA59" s="517"/>
    </row>
    <row r="60" spans="2:27">
      <c r="B60" s="246" t="s">
        <v>434</v>
      </c>
      <c r="C60" s="341" t="str">
        <f>'RFPR cover'!$C$14</f>
        <v>£m 12/13</v>
      </c>
      <c r="D60" s="241">
        <f>'R7 - Financing'!D90+'R10 - Tax'!D90</f>
        <v>0.99983326444261689</v>
      </c>
      <c r="E60" s="241">
        <f>'R7 - Financing'!E90+'R10 - Tax'!E90</f>
        <v>0.4448618097799294</v>
      </c>
      <c r="F60" s="241">
        <f>'R7 - Financing'!F90+'R10 - Tax'!F90</f>
        <v>0.44402236110079074</v>
      </c>
      <c r="G60" s="241">
        <f>'R7 - Financing'!G90+'R10 - Tax'!G90</f>
        <v>1.3311962427516535</v>
      </c>
      <c r="H60" s="241">
        <f>'R7 - Financing'!H90+'R10 - Tax'!H90</f>
        <v>2.1530677927901514</v>
      </c>
      <c r="I60" s="241">
        <f>'R7 - Financing'!I90+'R10 - Tax'!I90</f>
        <v>1.9599007029090467</v>
      </c>
      <c r="J60" s="241">
        <f>'R7 - Financing'!J90+'R10 - Tax'!J90</f>
        <v>0.74232935506004871</v>
      </c>
      <c r="K60" s="241">
        <f>'R7 - Financing'!K90+'R10 - Tax'!K90</f>
        <v>1.6997072165558791E-2</v>
      </c>
      <c r="M60" s="94">
        <f>SUM(D60:INDEX(D60:K60,0,MATCH('RFPR cover'!$C$7,$D$6:$K$6,0)))</f>
        <v>5.3729814708651418</v>
      </c>
      <c r="N60" s="94">
        <f>SUM(D60:K60)</f>
        <v>8.0922086009997969</v>
      </c>
      <c r="Q60" s="517"/>
      <c r="R60" s="517"/>
      <c r="S60" s="517"/>
      <c r="T60" s="517"/>
      <c r="U60" s="517"/>
      <c r="V60" s="517"/>
      <c r="W60" s="517"/>
      <c r="X60" s="517"/>
      <c r="Y60" s="517"/>
      <c r="Z60" s="517"/>
      <c r="AA60" s="517"/>
    </row>
    <row r="61" spans="2:27">
      <c r="B61" s="246" t="s">
        <v>440</v>
      </c>
      <c r="C61" s="341" t="str">
        <f>'RFPR cover'!$C$14</f>
        <v>£m 12/13</v>
      </c>
      <c r="D61" s="241">
        <f>'R10 - Tax'!D82-'R10 - Tax'!D89</f>
        <v>-5.7425693653767063</v>
      </c>
      <c r="E61" s="241">
        <f>'R10 - Tax'!E82-'R10 - Tax'!E89</f>
        <v>3.0390591724402065</v>
      </c>
      <c r="F61" s="241">
        <f>'R10 - Tax'!F82-'R10 - Tax'!F89</f>
        <v>-0.91773047991373691</v>
      </c>
      <c r="G61" s="241">
        <f>'R10 - Tax'!G82-'R10 - Tax'!G89</f>
        <v>-2.0310138842246697</v>
      </c>
      <c r="H61" s="241">
        <f>'R10 - Tax'!H82-'R10 - Tax'!H89</f>
        <v>-6.7761139462102697</v>
      </c>
      <c r="I61" s="241">
        <f>'R10 - Tax'!I82-'R10 - Tax'!I89</f>
        <v>-7.9618494723027515</v>
      </c>
      <c r="J61" s="241">
        <f>'R10 - Tax'!J82-'R10 - Tax'!J89</f>
        <v>-8.4936221045673506</v>
      </c>
      <c r="K61" s="241">
        <f>'R10 - Tax'!K82-'R10 - Tax'!K89</f>
        <v>-8.0262684420637331</v>
      </c>
      <c r="M61" s="94">
        <f>SUM(D61:INDEX(D61:K61,0,MATCH('RFPR cover'!$C$7,$D$6:$K$6,0)))</f>
        <v>-12.428368503285176</v>
      </c>
      <c r="N61" s="94">
        <f>SUM(D61:K61)</f>
        <v>-36.910108522219012</v>
      </c>
      <c r="Q61" s="517"/>
      <c r="R61" s="517"/>
      <c r="S61" s="517"/>
      <c r="T61" s="517"/>
      <c r="U61" s="517"/>
      <c r="V61" s="517"/>
      <c r="W61" s="517"/>
      <c r="X61" s="517"/>
      <c r="Y61" s="517"/>
      <c r="Z61" s="517"/>
      <c r="AA61" s="517"/>
    </row>
    <row r="62" spans="2:27">
      <c r="B62" s="246" t="s">
        <v>435</v>
      </c>
      <c r="C62" s="341" t="str">
        <f>'RFPR cover'!$C$14</f>
        <v>£m 12/13</v>
      </c>
      <c r="D62" s="241">
        <f>'R10 - Tax'!D84-'R10 - Tax'!D90</f>
        <v>-8.8817841970012523E-16</v>
      </c>
      <c r="E62" s="241">
        <f>'R10 - Tax'!E84-'R10 - Tax'!E90</f>
        <v>7.7715611723760958E-16</v>
      </c>
      <c r="F62" s="241">
        <f>'R10 - Tax'!F84-'R10 - Tax'!F90</f>
        <v>1.5543122344752192E-15</v>
      </c>
      <c r="G62" s="241">
        <f>'R10 - Tax'!G84-'R10 - Tax'!G90</f>
        <v>-1.27675647831893E-15</v>
      </c>
      <c r="H62" s="241">
        <f>'R10 - Tax'!H84-'R10 - Tax'!H90</f>
        <v>2.2204460492503131E-15</v>
      </c>
      <c r="I62" s="241">
        <f>'R10 - Tax'!I84-'R10 - Tax'!I90</f>
        <v>-8.8817841970012523E-16</v>
      </c>
      <c r="J62" s="241">
        <f>'R10 - Tax'!J84-'R10 - Tax'!J90</f>
        <v>1.7763568394002505E-15</v>
      </c>
      <c r="K62" s="241">
        <f>'R10 - Tax'!K84-'R10 - Tax'!K90</f>
        <v>0</v>
      </c>
      <c r="M62" s="94">
        <f>SUM(D62:INDEX(D62:K62,0,MATCH('RFPR cover'!$C$7,$D$6:$K$6,0)))</f>
        <v>2.3869795029440866E-15</v>
      </c>
      <c r="N62" s="94">
        <f>SUM(D62:K62)</f>
        <v>3.2751579226442118E-15</v>
      </c>
      <c r="Q62" s="517"/>
      <c r="R62" s="517"/>
      <c r="S62" s="517"/>
      <c r="T62" s="517"/>
      <c r="U62" s="517"/>
      <c r="V62" s="517"/>
      <c r="W62" s="517"/>
      <c r="X62" s="517"/>
      <c r="Y62" s="517"/>
      <c r="Z62" s="517"/>
      <c r="AA62" s="517"/>
    </row>
    <row r="63" spans="2:27">
      <c r="B63" s="247" t="s">
        <v>104</v>
      </c>
      <c r="C63" s="341" t="str">
        <f>'RFPR cover'!$C$14</f>
        <v>£m 12/13</v>
      </c>
      <c r="D63" s="244">
        <f>SUM(D58:D62)</f>
        <v>48.906762049658681</v>
      </c>
      <c r="E63" s="145">
        <f t="shared" ref="E63:K63" si="17">SUM(E58:E62)</f>
        <v>69.586727375706403</v>
      </c>
      <c r="F63" s="145">
        <f t="shared" si="17"/>
        <v>51.77409513584567</v>
      </c>
      <c r="G63" s="145">
        <f t="shared" si="17"/>
        <v>84.65627624049479</v>
      </c>
      <c r="H63" s="145">
        <f t="shared" si="17"/>
        <v>64.544011148593597</v>
      </c>
      <c r="I63" s="145">
        <f t="shared" si="17"/>
        <v>59.416957511106254</v>
      </c>
      <c r="J63" s="145">
        <f t="shared" si="17"/>
        <v>53.21254331232646</v>
      </c>
      <c r="K63" s="146">
        <f t="shared" si="17"/>
        <v>47.336240608348433</v>
      </c>
      <c r="M63" s="144">
        <f>SUM(M58:M62)</f>
        <v>319.46787195029907</v>
      </c>
      <c r="N63" s="146">
        <f>SUM(N58:N62)</f>
        <v>479.43361338208007</v>
      </c>
      <c r="Q63" s="517"/>
      <c r="R63" s="517"/>
      <c r="S63" s="517"/>
      <c r="T63" s="517"/>
      <c r="U63" s="517"/>
      <c r="V63" s="517"/>
      <c r="W63" s="517"/>
      <c r="X63" s="517"/>
      <c r="Y63" s="517"/>
      <c r="Z63" s="517"/>
      <c r="AA63" s="517"/>
    </row>
    <row r="64" spans="2:27">
      <c r="B64" s="246"/>
      <c r="D64" s="419"/>
      <c r="Q64" s="517"/>
      <c r="R64" s="517"/>
      <c r="S64" s="517"/>
      <c r="T64" s="517"/>
      <c r="U64" s="517"/>
      <c r="V64" s="517"/>
      <c r="W64" s="517"/>
      <c r="X64" s="517"/>
      <c r="Y64" s="517"/>
      <c r="Z64" s="517"/>
      <c r="AA64" s="517"/>
    </row>
    <row r="65" spans="2:27">
      <c r="B65" s="246" t="s">
        <v>232</v>
      </c>
      <c r="C65" s="341" t="str">
        <f>'RFPR cover'!$C$14</f>
        <v>£m 12/13</v>
      </c>
      <c r="D65" s="240">
        <f>'R9 - RAV'!D46</f>
        <v>672.98061827134791</v>
      </c>
      <c r="E65" s="178">
        <f>'R9 - RAV'!E46</f>
        <v>693.40567113098973</v>
      </c>
      <c r="F65" s="178">
        <f>'R9 - RAV'!F46</f>
        <v>706.04540562546822</v>
      </c>
      <c r="G65" s="178">
        <f>'R9 - RAV'!G46</f>
        <v>712.89382985581949</v>
      </c>
      <c r="H65" s="178">
        <f>'R9 - RAV'!H46</f>
        <v>721.09344604206967</v>
      </c>
      <c r="I65" s="178">
        <f>'R9 - RAV'!I46</f>
        <v>730.694199855237</v>
      </c>
      <c r="J65" s="178">
        <f>'R9 - RAV'!J46</f>
        <v>745.9630547721116</v>
      </c>
      <c r="K65" s="179">
        <f>'R9 - RAV'!K46</f>
        <v>766.29819926880964</v>
      </c>
      <c r="Q65" s="517"/>
      <c r="R65" s="517"/>
      <c r="S65" s="517"/>
      <c r="T65" s="517"/>
      <c r="U65" s="517"/>
      <c r="V65" s="517"/>
      <c r="W65" s="517"/>
      <c r="X65" s="517"/>
      <c r="Y65" s="517"/>
      <c r="Z65" s="517"/>
      <c r="AA65" s="517"/>
    </row>
    <row r="66" spans="2:27">
      <c r="B66" s="246" t="s">
        <v>107</v>
      </c>
      <c r="C66" s="341" t="str">
        <f>'RFPR cover'!$C$14</f>
        <v>£m 12/13</v>
      </c>
      <c r="D66" s="245">
        <f>'R8 - Net Debt'!D62</f>
        <v>707.23377204594931</v>
      </c>
      <c r="E66" s="182">
        <f>'R8 - Net Debt'!E62</f>
        <v>714.17862816057163</v>
      </c>
      <c r="F66" s="182">
        <f>'R8 - Net Debt'!F62</f>
        <v>739.35651540416666</v>
      </c>
      <c r="G66" s="182">
        <f>'R8 - Net Debt'!G62</f>
        <v>798.90802508133982</v>
      </c>
      <c r="H66" s="182">
        <f>'R8 - Net Debt'!H62</f>
        <v>838.32587799977705</v>
      </c>
      <c r="I66" s="182">
        <f>'R8 - Net Debt'!I62</f>
        <v>815.06331563542369</v>
      </c>
      <c r="J66" s="182">
        <f>'R8 - Net Debt'!J62</f>
        <v>784.66839944837204</v>
      </c>
      <c r="K66" s="183">
        <f>'R8 - Net Debt'!K62</f>
        <v>767.33081166827606</v>
      </c>
      <c r="Q66" s="517"/>
      <c r="R66" s="517"/>
      <c r="S66" s="517"/>
      <c r="T66" s="517"/>
      <c r="U66" s="517"/>
      <c r="V66" s="517"/>
      <c r="W66" s="517"/>
      <c r="X66" s="517"/>
      <c r="Y66" s="517"/>
      <c r="Z66" s="517"/>
      <c r="AA66" s="517"/>
    </row>
  </sheetData>
  <conditionalFormatting sqref="D5:K6">
    <cfRule type="expression" dxfId="80"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L71"/>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64.36328125" style="212" customWidth="1"/>
    <col min="3" max="3" width="13.36328125" style="135" customWidth="1"/>
    <col min="4" max="11" width="11.08984375" customWidth="1"/>
    <col min="12" max="12" width="5" style="42" customWidth="1"/>
  </cols>
  <sheetData>
    <row r="1" spans="1:12" s="31" customFormat="1" ht="21">
      <c r="A1" s="919" t="s">
        <v>119</v>
      </c>
      <c r="B1" s="920"/>
      <c r="C1" s="274"/>
      <c r="D1" s="273"/>
      <c r="E1" s="273"/>
      <c r="F1" s="273"/>
      <c r="G1" s="273"/>
      <c r="H1" s="273"/>
      <c r="I1" s="273"/>
      <c r="J1" s="273"/>
      <c r="K1" s="273"/>
      <c r="L1" s="275"/>
    </row>
    <row r="2" spans="1:12" s="31" customFormat="1" ht="21">
      <c r="A2" s="908" t="str">
        <f>'RFPR cover'!C5</f>
        <v>WPD-EMID</v>
      </c>
      <c r="B2" s="921"/>
      <c r="C2" s="133"/>
      <c r="D2" s="29"/>
      <c r="E2" s="29"/>
      <c r="F2" s="29"/>
      <c r="G2" s="29"/>
      <c r="H2" s="29"/>
      <c r="I2" s="27"/>
      <c r="J2" s="27"/>
      <c r="K2" s="27"/>
      <c r="L2" s="122"/>
    </row>
    <row r="3" spans="1:12" s="31" customFormat="1" ht="21">
      <c r="A3" s="911">
        <f>'RFPR cover'!C7</f>
        <v>2020</v>
      </c>
      <c r="B3" s="922"/>
      <c r="C3" s="276"/>
      <c r="D3" s="259"/>
      <c r="E3" s="259"/>
      <c r="F3" s="259"/>
      <c r="G3" s="259"/>
      <c r="H3" s="259"/>
      <c r="I3" s="254"/>
      <c r="J3" s="254"/>
      <c r="K3" s="254"/>
      <c r="L3" s="260"/>
    </row>
    <row r="4" spans="1:12" s="35" customFormat="1" ht="12.75" customHeight="1">
      <c r="B4" s="224"/>
      <c r="C4" s="137"/>
      <c r="L4" s="58"/>
    </row>
    <row r="5" spans="1:12" s="2" customFormat="1">
      <c r="B5" s="128"/>
      <c r="C5" s="135"/>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c r="L5" s="54"/>
    </row>
    <row r="6" spans="1:12" s="2" customFormat="1">
      <c r="B6" s="128"/>
      <c r="C6" s="135"/>
      <c r="D6" s="89">
        <f>'RFPR cover'!$C$13</f>
        <v>2016</v>
      </c>
      <c r="E6" s="90">
        <f>D6+1</f>
        <v>2017</v>
      </c>
      <c r="F6" s="90">
        <f t="shared" ref="F6:K6" si="0">E6+1</f>
        <v>2018</v>
      </c>
      <c r="G6" s="90">
        <f t="shared" si="0"/>
        <v>2019</v>
      </c>
      <c r="H6" s="90">
        <f t="shared" si="0"/>
        <v>2020</v>
      </c>
      <c r="I6" s="90">
        <f t="shared" si="0"/>
        <v>2021</v>
      </c>
      <c r="J6" s="90">
        <f t="shared" si="0"/>
        <v>2022</v>
      </c>
      <c r="K6" s="90">
        <f t="shared" si="0"/>
        <v>2023</v>
      </c>
      <c r="L6" s="54"/>
    </row>
    <row r="7" spans="1:12" s="2" customFormat="1">
      <c r="B7" s="764"/>
      <c r="C7" s="151"/>
      <c r="D7" s="50"/>
      <c r="E7" s="50"/>
      <c r="F7" s="50"/>
      <c r="G7" s="50"/>
      <c r="H7" s="50"/>
      <c r="I7" s="50"/>
      <c r="J7" s="50"/>
      <c r="K7" s="50"/>
      <c r="L7" s="58"/>
    </row>
    <row r="8" spans="1:12" s="2" customFormat="1">
      <c r="B8" s="765" t="s">
        <v>155</v>
      </c>
      <c r="C8" s="149"/>
      <c r="D8" s="81"/>
      <c r="E8" s="81"/>
      <c r="F8" s="81"/>
      <c r="G8" s="81"/>
      <c r="H8" s="81"/>
      <c r="I8" s="81"/>
      <c r="J8" s="81"/>
      <c r="K8" s="81"/>
      <c r="L8" s="271"/>
    </row>
    <row r="9" spans="1:12" s="35" customFormat="1">
      <c r="A9" s="2"/>
      <c r="B9" s="766"/>
      <c r="C9" s="137"/>
      <c r="L9" s="58"/>
    </row>
    <row r="10" spans="1:12" s="2" customFormat="1">
      <c r="B10" s="767" t="s">
        <v>387</v>
      </c>
      <c r="C10" s="150" t="str">
        <f>'RFPR cover'!$C$14</f>
        <v>£m 12/13</v>
      </c>
      <c r="D10" s="593">
        <v>386</v>
      </c>
      <c r="E10" s="594">
        <v>398.9</v>
      </c>
      <c r="F10" s="594">
        <v>410.9</v>
      </c>
      <c r="G10" s="594">
        <v>415</v>
      </c>
      <c r="H10" s="594">
        <v>419.2</v>
      </c>
      <c r="I10" s="594"/>
      <c r="J10" s="594"/>
      <c r="K10" s="594"/>
      <c r="L10" s="58"/>
    </row>
    <row r="11" spans="1:12" s="2" customFormat="1">
      <c r="B11" s="767" t="s">
        <v>388</v>
      </c>
      <c r="C11" s="150" t="str">
        <f>'RFPR cover'!$C$14</f>
        <v>£m 12/13</v>
      </c>
      <c r="D11" s="595">
        <v>0</v>
      </c>
      <c r="E11" s="596">
        <v>5.9</v>
      </c>
      <c r="F11" s="596">
        <v>-0.8</v>
      </c>
      <c r="G11" s="596">
        <v>-13.5</v>
      </c>
      <c r="H11" s="596">
        <v>-11.1</v>
      </c>
      <c r="I11" s="596"/>
      <c r="J11" s="596"/>
      <c r="K11" s="596"/>
      <c r="L11" s="58"/>
    </row>
    <row r="12" spans="1:12" s="2" customFormat="1">
      <c r="B12" s="767" t="s">
        <v>147</v>
      </c>
      <c r="C12" s="150" t="str">
        <f>'RFPR cover'!$C$14</f>
        <v>£m 12/13</v>
      </c>
      <c r="D12" s="595">
        <v>0</v>
      </c>
      <c r="E12" s="596">
        <v>0</v>
      </c>
      <c r="F12" s="596">
        <v>-8.5118543446491834</v>
      </c>
      <c r="G12" s="596">
        <v>-1.5940680100258058</v>
      </c>
      <c r="H12" s="596">
        <v>1.0296938332415961</v>
      </c>
      <c r="I12" s="596"/>
      <c r="J12" s="596"/>
      <c r="K12" s="596"/>
      <c r="L12" s="58"/>
    </row>
    <row r="13" spans="1:12" s="2" customFormat="1">
      <c r="B13" s="767" t="s">
        <v>376</v>
      </c>
      <c r="C13" s="151" t="s">
        <v>127</v>
      </c>
      <c r="D13" s="817">
        <v>1.0820000000000001</v>
      </c>
      <c r="E13" s="818">
        <v>1.087</v>
      </c>
      <c r="F13" s="818">
        <v>1.121</v>
      </c>
      <c r="G13" s="818">
        <v>1.159</v>
      </c>
      <c r="H13" s="818">
        <v>1.198</v>
      </c>
      <c r="I13" s="818"/>
      <c r="J13" s="818"/>
      <c r="K13" s="818"/>
      <c r="L13" s="58"/>
    </row>
    <row r="14" spans="1:12" s="2" customFormat="1">
      <c r="B14" s="768" t="s">
        <v>196</v>
      </c>
      <c r="C14" s="265" t="s">
        <v>128</v>
      </c>
      <c r="D14" s="628">
        <f>SUM(D10:D12)*D13</f>
        <v>417.65200000000004</v>
      </c>
      <c r="E14" s="629">
        <f t="shared" ref="E14:K14" si="1">SUM(E10:E12)*E13</f>
        <v>440.01759999999996</v>
      </c>
      <c r="F14" s="629">
        <f t="shared" si="1"/>
        <v>450.18031127964821</v>
      </c>
      <c r="G14" s="629">
        <f t="shared" si="1"/>
        <v>463.49097517638012</v>
      </c>
      <c r="H14" s="629">
        <f t="shared" si="1"/>
        <v>490.13737321222339</v>
      </c>
      <c r="I14" s="629">
        <f t="shared" si="1"/>
        <v>0</v>
      </c>
      <c r="J14" s="629">
        <f t="shared" si="1"/>
        <v>0</v>
      </c>
      <c r="K14" s="630">
        <f t="shared" si="1"/>
        <v>0</v>
      </c>
      <c r="L14" s="58"/>
    </row>
    <row r="15" spans="1:12" s="2" customFormat="1">
      <c r="B15" s="212" t="s">
        <v>131</v>
      </c>
      <c r="C15" s="151" t="s">
        <v>128</v>
      </c>
      <c r="D15" s="597">
        <f>'R5 - Output Incentives'!D102</f>
        <v>29.162767154804989</v>
      </c>
      <c r="E15" s="598">
        <f>'R5 - Output Incentives'!E102</f>
        <v>31.766138666016118</v>
      </c>
      <c r="F15" s="599">
        <f>'R5 - Output Incentives'!F102</f>
        <v>28.245016105067137</v>
      </c>
      <c r="G15" s="599">
        <f>'R5 - Output Incentives'!G102</f>
        <v>28.631290454394698</v>
      </c>
      <c r="H15" s="599">
        <f>'R5 - Output Incentives'!H102</f>
        <v>26.185498250129932</v>
      </c>
      <c r="I15" s="599">
        <f>'R5 - Output Incentives'!I102</f>
        <v>30.063403918037405</v>
      </c>
      <c r="J15" s="599">
        <f>'R5 - Output Incentives'!J102</f>
        <v>31.091765949320685</v>
      </c>
      <c r="K15" s="600">
        <f>'R5 - Output Incentives'!K102</f>
        <v>28.065062684145829</v>
      </c>
      <c r="L15" s="58"/>
    </row>
    <row r="16" spans="1:12" s="2" customFormat="1">
      <c r="B16" s="769" t="s">
        <v>389</v>
      </c>
      <c r="C16" s="151" t="s">
        <v>128</v>
      </c>
      <c r="D16" s="595">
        <v>0</v>
      </c>
      <c r="E16" s="596">
        <v>0</v>
      </c>
      <c r="F16" s="596">
        <v>0.55494746527166616</v>
      </c>
      <c r="G16" s="596">
        <v>-1.880672094342432E-2</v>
      </c>
      <c r="H16" s="596">
        <v>-8.3295500876608894</v>
      </c>
      <c r="I16" s="596"/>
      <c r="J16" s="596"/>
      <c r="K16" s="596"/>
      <c r="L16" s="58"/>
    </row>
    <row r="17" spans="2:12" s="2" customFormat="1">
      <c r="B17" s="769" t="s">
        <v>134</v>
      </c>
      <c r="C17" s="151" t="s">
        <v>128</v>
      </c>
      <c r="D17" s="597">
        <f>'R6 - Innovation'!D12</f>
        <v>0.51183992700000003</v>
      </c>
      <c r="E17" s="598">
        <f>'R6 - Innovation'!E12</f>
        <v>1.5652139399999998</v>
      </c>
      <c r="F17" s="599">
        <f>'R6 - Innovation'!F12</f>
        <v>1.8563399999999999</v>
      </c>
      <c r="G17" s="599">
        <f>'R6 - Innovation'!G12</f>
        <v>1.2692700000000001</v>
      </c>
      <c r="H17" s="599">
        <f>'R6 - Innovation'!H12</f>
        <v>1.9027575000000003</v>
      </c>
      <c r="I17" s="599">
        <f>'R6 - Innovation'!I12</f>
        <v>2.0970541669547789</v>
      </c>
      <c r="J17" s="599">
        <f>'R6 - Innovation'!J12</f>
        <v>1.9337074128089289</v>
      </c>
      <c r="K17" s="600">
        <f>'R6 - Innovation'!K12</f>
        <v>1.6884202125325944</v>
      </c>
      <c r="L17" s="58"/>
    </row>
    <row r="18" spans="2:12" s="2" customFormat="1">
      <c r="B18" s="769" t="s">
        <v>133</v>
      </c>
      <c r="C18" s="151" t="s">
        <v>128</v>
      </c>
      <c r="D18" s="597">
        <f>'R6 - Innovation'!D17</f>
        <v>1.80788244</v>
      </c>
      <c r="E18" s="598">
        <f>'R6 - Innovation'!E17</f>
        <v>9.5952499999999996E-2</v>
      </c>
      <c r="F18" s="599">
        <f>'R6 - Innovation'!F17</f>
        <v>0.27769422999999999</v>
      </c>
      <c r="G18" s="599">
        <f>'R6 - Innovation'!G17</f>
        <v>0.75350304000000001</v>
      </c>
      <c r="H18" s="599">
        <f>'R6 - Innovation'!H17</f>
        <v>0.10352917</v>
      </c>
      <c r="I18" s="599">
        <f>'R6 - Innovation'!I17</f>
        <v>0</v>
      </c>
      <c r="J18" s="599">
        <f>'R6 - Innovation'!J17</f>
        <v>0</v>
      </c>
      <c r="K18" s="600">
        <f>'R6 - Innovation'!K17</f>
        <v>0</v>
      </c>
      <c r="L18" s="58"/>
    </row>
    <row r="19" spans="2:12" s="2" customFormat="1">
      <c r="B19" s="941" t="s">
        <v>585</v>
      </c>
      <c r="C19" s="151" t="s">
        <v>128</v>
      </c>
      <c r="D19" s="595">
        <v>-12.630259182867572</v>
      </c>
      <c r="E19" s="596">
        <v>-59.670367065805735</v>
      </c>
      <c r="F19" s="596">
        <v>-13.119344342567985</v>
      </c>
      <c r="G19" s="596">
        <v>-3.2252851332263059</v>
      </c>
      <c r="H19" s="596">
        <v>0</v>
      </c>
      <c r="I19" s="596"/>
      <c r="J19" s="596"/>
      <c r="K19" s="596"/>
      <c r="L19" s="58"/>
    </row>
    <row r="20" spans="2:12" s="2" customFormat="1">
      <c r="B20" s="541" t="s">
        <v>243</v>
      </c>
      <c r="C20" s="151" t="s">
        <v>128</v>
      </c>
      <c r="D20" s="595">
        <v>0</v>
      </c>
      <c r="E20" s="596">
        <v>0</v>
      </c>
      <c r="F20" s="596">
        <v>0</v>
      </c>
      <c r="G20" s="596">
        <v>0</v>
      </c>
      <c r="H20" s="596">
        <v>0</v>
      </c>
      <c r="I20" s="596"/>
      <c r="J20" s="596"/>
      <c r="K20" s="596"/>
      <c r="L20" s="58"/>
    </row>
    <row r="21" spans="2:12" s="2" customFormat="1">
      <c r="B21" s="541" t="s">
        <v>243</v>
      </c>
      <c r="C21" s="151" t="s">
        <v>128</v>
      </c>
      <c r="D21" s="595">
        <v>0</v>
      </c>
      <c r="E21" s="596">
        <v>0</v>
      </c>
      <c r="F21" s="596">
        <v>0</v>
      </c>
      <c r="G21" s="596">
        <v>0</v>
      </c>
      <c r="H21" s="596">
        <v>0</v>
      </c>
      <c r="I21" s="596"/>
      <c r="J21" s="596"/>
      <c r="K21" s="596"/>
      <c r="L21" s="58"/>
    </row>
    <row r="22" spans="2:12" s="2" customFormat="1">
      <c r="B22" s="541" t="s">
        <v>243</v>
      </c>
      <c r="C22" s="151" t="s">
        <v>128</v>
      </c>
      <c r="D22" s="595">
        <v>0</v>
      </c>
      <c r="E22" s="596">
        <v>0</v>
      </c>
      <c r="F22" s="596">
        <v>0</v>
      </c>
      <c r="G22" s="596">
        <v>0</v>
      </c>
      <c r="H22" s="596">
        <v>0</v>
      </c>
      <c r="I22" s="596"/>
      <c r="J22" s="596"/>
      <c r="K22" s="596"/>
      <c r="L22" s="58"/>
    </row>
    <row r="23" spans="2:12" s="2" customFormat="1">
      <c r="B23" s="541" t="s">
        <v>243</v>
      </c>
      <c r="C23" s="151" t="s">
        <v>128</v>
      </c>
      <c r="D23" s="595">
        <v>0</v>
      </c>
      <c r="E23" s="596">
        <v>0</v>
      </c>
      <c r="F23" s="596">
        <v>0</v>
      </c>
      <c r="G23" s="596">
        <v>0</v>
      </c>
      <c r="H23" s="596">
        <v>0</v>
      </c>
      <c r="I23" s="596"/>
      <c r="J23" s="596"/>
      <c r="K23" s="596"/>
      <c r="L23" s="58"/>
    </row>
    <row r="24" spans="2:12" s="2" customFormat="1">
      <c r="B24" s="541" t="s">
        <v>243</v>
      </c>
      <c r="C24" s="151" t="s">
        <v>128</v>
      </c>
      <c r="D24" s="595">
        <v>0</v>
      </c>
      <c r="E24" s="596">
        <v>0</v>
      </c>
      <c r="F24" s="596">
        <v>0</v>
      </c>
      <c r="G24" s="596">
        <v>0</v>
      </c>
      <c r="H24" s="596">
        <v>0</v>
      </c>
      <c r="I24" s="596"/>
      <c r="J24" s="596"/>
      <c r="K24" s="596"/>
      <c r="L24" s="58"/>
    </row>
    <row r="25" spans="2:12" s="2" customFormat="1">
      <c r="B25" s="769" t="s">
        <v>135</v>
      </c>
      <c r="C25" s="151" t="s">
        <v>128</v>
      </c>
      <c r="D25" s="595">
        <v>0</v>
      </c>
      <c r="E25" s="596">
        <v>-61.339964342045171</v>
      </c>
      <c r="F25" s="596">
        <v>0.69239456965043011</v>
      </c>
      <c r="G25" s="596">
        <v>6.9577547031466196</v>
      </c>
      <c r="H25" s="596">
        <v>-1.2040844001186075</v>
      </c>
      <c r="I25" s="596"/>
      <c r="J25" s="596"/>
      <c r="K25" s="596"/>
      <c r="L25" s="58"/>
    </row>
    <row r="26" spans="2:12" s="2" customFormat="1">
      <c r="B26" s="764" t="s">
        <v>148</v>
      </c>
      <c r="C26" s="151" t="s">
        <v>128</v>
      </c>
      <c r="D26" s="601">
        <f>SUM(D14:D24,-D25)</f>
        <v>436.50423033893748</v>
      </c>
      <c r="E26" s="602">
        <f t="shared" ref="E26:K26" si="2">SUM(E14:E24,-E25)</f>
        <v>475.11450238225547</v>
      </c>
      <c r="F26" s="602">
        <f t="shared" si="2"/>
        <v>467.30257016776852</v>
      </c>
      <c r="G26" s="602">
        <f t="shared" si="2"/>
        <v>483.94319211345845</v>
      </c>
      <c r="H26" s="602">
        <f t="shared" si="2"/>
        <v>511.20369244481105</v>
      </c>
      <c r="I26" s="602">
        <f t="shared" si="2"/>
        <v>32.160458084992186</v>
      </c>
      <c r="J26" s="602">
        <f t="shared" si="2"/>
        <v>33.025473362129617</v>
      </c>
      <c r="K26" s="603">
        <f t="shared" si="2"/>
        <v>29.753482896678424</v>
      </c>
      <c r="L26" s="58"/>
    </row>
    <row r="27" spans="2:12" s="2" customFormat="1">
      <c r="B27" s="224"/>
      <c r="C27" s="137"/>
      <c r="D27" s="55"/>
      <c r="E27" s="55"/>
      <c r="F27" s="55"/>
      <c r="G27" s="61"/>
      <c r="H27" s="61"/>
      <c r="I27" s="61"/>
      <c r="J27" s="61"/>
      <c r="K27" s="61"/>
      <c r="L27" s="58"/>
    </row>
    <row r="28" spans="2:12" s="2" customFormat="1">
      <c r="B28" s="224" t="s">
        <v>150</v>
      </c>
      <c r="C28" s="137"/>
      <c r="D28" s="601">
        <f>IF(ISBLANK(D33),0,D33-D26)</f>
        <v>0.66658231106259791</v>
      </c>
      <c r="E28" s="602">
        <f t="shared" ref="E28:K28" si="3">IF(ISBLANK(E33),0,E33-E26)</f>
        <v>6.7080563377444378</v>
      </c>
      <c r="F28" s="602">
        <f t="shared" si="3"/>
        <v>-1.1571212577684946</v>
      </c>
      <c r="G28" s="602">
        <f t="shared" si="3"/>
        <v>-0.67115808345846517</v>
      </c>
      <c r="H28" s="602">
        <f t="shared" si="3"/>
        <v>-9.1737146748110945</v>
      </c>
      <c r="I28" s="602">
        <f t="shared" si="3"/>
        <v>0</v>
      </c>
      <c r="J28" s="602">
        <f t="shared" si="3"/>
        <v>0</v>
      </c>
      <c r="K28" s="603">
        <f t="shared" si="3"/>
        <v>0</v>
      </c>
      <c r="L28" s="58"/>
    </row>
    <row r="29" spans="2:12" s="2" customFormat="1">
      <c r="B29" s="224"/>
      <c r="C29" s="137"/>
      <c r="D29" s="35"/>
      <c r="E29" s="35"/>
      <c r="F29" s="35"/>
      <c r="G29" s="35"/>
      <c r="H29" s="35"/>
      <c r="I29" s="35"/>
      <c r="J29" s="35"/>
      <c r="K29" s="35"/>
      <c r="L29" s="58"/>
    </row>
    <row r="30" spans="2:12" s="2" customFormat="1">
      <c r="B30" s="224"/>
      <c r="C30" s="137"/>
      <c r="D30" s="35"/>
      <c r="E30" s="35"/>
      <c r="F30" s="35"/>
      <c r="G30" s="35"/>
      <c r="H30" s="35"/>
      <c r="I30" s="35"/>
      <c r="J30" s="35"/>
      <c r="K30" s="35"/>
      <c r="L30" s="58"/>
    </row>
    <row r="31" spans="2:12" s="2" customFormat="1">
      <c r="B31" s="765" t="s">
        <v>193</v>
      </c>
      <c r="C31" s="149"/>
      <c r="D31" s="81"/>
      <c r="E31" s="81"/>
      <c r="F31" s="81"/>
      <c r="G31" s="81"/>
      <c r="H31" s="81"/>
      <c r="I31" s="81"/>
      <c r="J31" s="81"/>
      <c r="K31" s="81"/>
      <c r="L31" s="272"/>
    </row>
    <row r="32" spans="2:12" s="2" customFormat="1">
      <c r="B32" s="224"/>
      <c r="C32" s="137"/>
      <c r="D32" s="35"/>
      <c r="E32" s="35"/>
      <c r="F32" s="35"/>
      <c r="G32" s="35"/>
      <c r="H32" s="35"/>
      <c r="I32" s="35"/>
      <c r="J32" s="35"/>
      <c r="K32" s="35"/>
      <c r="L32" s="58"/>
    </row>
    <row r="33" spans="2:12" s="2" customFormat="1">
      <c r="B33" s="766" t="s">
        <v>149</v>
      </c>
      <c r="C33" s="137"/>
      <c r="D33" s="637">
        <v>437.17081265000007</v>
      </c>
      <c r="E33" s="638">
        <v>481.8225587199999</v>
      </c>
      <c r="F33" s="638">
        <v>466.14544891000003</v>
      </c>
      <c r="G33" s="638">
        <v>483.27203402999999</v>
      </c>
      <c r="H33" s="638">
        <v>502.02997776999996</v>
      </c>
      <c r="I33" s="638"/>
      <c r="J33" s="638"/>
      <c r="K33" s="639"/>
      <c r="L33" s="58"/>
    </row>
    <row r="34" spans="2:12" s="2" customFormat="1">
      <c r="B34" s="128"/>
      <c r="C34" s="135"/>
      <c r="L34" s="58"/>
    </row>
    <row r="35" spans="2:12" s="2" customFormat="1">
      <c r="B35" s="392" t="s">
        <v>136</v>
      </c>
      <c r="C35" s="135"/>
      <c r="L35" s="58"/>
    </row>
    <row r="36" spans="2:12" s="2" customFormat="1">
      <c r="B36" s="893" t="s">
        <v>137</v>
      </c>
      <c r="C36" s="151" t="s">
        <v>128</v>
      </c>
      <c r="D36" s="593">
        <v>0</v>
      </c>
      <c r="E36" s="594">
        <v>0</v>
      </c>
      <c r="F36" s="594">
        <v>0</v>
      </c>
      <c r="G36" s="594">
        <v>0</v>
      </c>
      <c r="H36" s="594">
        <v>0</v>
      </c>
      <c r="I36" s="594"/>
      <c r="J36" s="594"/>
      <c r="K36" s="604"/>
      <c r="L36" s="58"/>
    </row>
    <row r="37" spans="2:12" s="2" customFormat="1">
      <c r="B37" s="893" t="s">
        <v>138</v>
      </c>
      <c r="C37" s="151" t="s">
        <v>128</v>
      </c>
      <c r="D37" s="595">
        <v>4.0959000000000003</v>
      </c>
      <c r="E37" s="596">
        <v>3.5318000000000001</v>
      </c>
      <c r="F37" s="596">
        <v>3.1410999999999998</v>
      </c>
      <c r="G37" s="596">
        <v>2.9316999999999998</v>
      </c>
      <c r="H37" s="596">
        <v>2.6173306320000003</v>
      </c>
      <c r="I37" s="596"/>
      <c r="J37" s="596"/>
      <c r="K37" s="605"/>
      <c r="L37" s="58"/>
    </row>
    <row r="38" spans="2:12" s="2" customFormat="1">
      <c r="B38" s="893" t="s">
        <v>139</v>
      </c>
      <c r="C38" s="151" t="s">
        <v>128</v>
      </c>
      <c r="D38" s="595">
        <v>5.8376000000000001</v>
      </c>
      <c r="E38" s="596">
        <v>64.88388587451</v>
      </c>
      <c r="F38" s="596">
        <v>65.320799999999991</v>
      </c>
      <c r="G38" s="596">
        <v>61.652799999999999</v>
      </c>
      <c r="H38" s="596">
        <v>63.016924024000005</v>
      </c>
      <c r="I38" s="596"/>
      <c r="J38" s="596"/>
      <c r="K38" s="605"/>
      <c r="L38" s="58"/>
    </row>
    <row r="39" spans="2:12" s="2" customFormat="1">
      <c r="B39" s="893" t="s">
        <v>140</v>
      </c>
      <c r="C39" s="151" t="s">
        <v>128</v>
      </c>
      <c r="D39" s="595">
        <v>0</v>
      </c>
      <c r="E39" s="596">
        <v>0</v>
      </c>
      <c r="F39" s="596">
        <v>0</v>
      </c>
      <c r="G39" s="596">
        <v>0</v>
      </c>
      <c r="H39" s="596">
        <v>0</v>
      </c>
      <c r="I39" s="596"/>
      <c r="J39" s="596"/>
      <c r="K39" s="605"/>
      <c r="L39" s="58"/>
    </row>
    <row r="40" spans="2:12" s="2" customFormat="1">
      <c r="B40" s="893" t="s">
        <v>141</v>
      </c>
      <c r="C40" s="151" t="s">
        <v>128</v>
      </c>
      <c r="D40" s="595">
        <v>0</v>
      </c>
      <c r="E40" s="596">
        <v>0</v>
      </c>
      <c r="F40" s="596">
        <v>0</v>
      </c>
      <c r="G40" s="596">
        <v>0</v>
      </c>
      <c r="H40" s="596">
        <v>0</v>
      </c>
      <c r="I40" s="596"/>
      <c r="J40" s="596"/>
      <c r="K40" s="605"/>
      <c r="L40" s="58"/>
    </row>
    <row r="41" spans="2:12" s="2" customFormat="1">
      <c r="B41" s="893" t="s">
        <v>142</v>
      </c>
      <c r="C41" s="151" t="s">
        <v>128</v>
      </c>
      <c r="D41" s="595">
        <v>3.3812000000000002</v>
      </c>
      <c r="E41" s="596">
        <v>3.6525000000000003</v>
      </c>
      <c r="F41" s="596">
        <v>3.8551000000000002</v>
      </c>
      <c r="G41" s="596">
        <v>1.2702</v>
      </c>
      <c r="H41" s="596">
        <v>2.0873521180000001</v>
      </c>
      <c r="I41" s="596"/>
      <c r="J41" s="596"/>
      <c r="K41" s="605"/>
      <c r="L41" s="58"/>
    </row>
    <row r="42" spans="2:12" s="2" customFormat="1">
      <c r="B42" s="893" t="s">
        <v>143</v>
      </c>
      <c r="C42" s="151" t="s">
        <v>128</v>
      </c>
      <c r="D42" s="595">
        <v>0</v>
      </c>
      <c r="E42" s="596">
        <v>0</v>
      </c>
      <c r="F42" s="596">
        <v>0</v>
      </c>
      <c r="G42" s="596">
        <v>0</v>
      </c>
      <c r="H42" s="596">
        <v>0</v>
      </c>
      <c r="I42" s="596"/>
      <c r="J42" s="596"/>
      <c r="K42" s="605"/>
      <c r="L42" s="58"/>
    </row>
    <row r="43" spans="2:12" s="2" customFormat="1">
      <c r="B43" s="894" t="s">
        <v>144</v>
      </c>
      <c r="C43" s="151" t="s">
        <v>128</v>
      </c>
      <c r="D43" s="606">
        <v>0</v>
      </c>
      <c r="E43" s="607">
        <v>0</v>
      </c>
      <c r="F43" s="607">
        <v>0</v>
      </c>
      <c r="G43" s="607">
        <v>0</v>
      </c>
      <c r="H43" s="607">
        <v>0</v>
      </c>
      <c r="I43" s="607"/>
      <c r="J43" s="607"/>
      <c r="K43" s="608"/>
      <c r="L43" s="58"/>
    </row>
    <row r="44" spans="2:12" s="2" customFormat="1">
      <c r="B44" s="892" t="s">
        <v>529</v>
      </c>
      <c r="C44" s="151" t="s">
        <v>128</v>
      </c>
      <c r="D44" s="606">
        <v>0</v>
      </c>
      <c r="E44" s="607">
        <v>0</v>
      </c>
      <c r="F44" s="607">
        <v>0</v>
      </c>
      <c r="G44" s="607">
        <v>0</v>
      </c>
      <c r="H44" s="607">
        <v>0</v>
      </c>
      <c r="I44" s="607"/>
      <c r="J44" s="607"/>
      <c r="K44" s="608"/>
      <c r="L44" s="58"/>
    </row>
    <row r="45" spans="2:12" s="2" customFormat="1">
      <c r="B45" s="392" t="s">
        <v>176</v>
      </c>
      <c r="C45" s="151" t="s">
        <v>128</v>
      </c>
      <c r="D45" s="609">
        <f>SUM(D36:D44)</f>
        <v>13.3147</v>
      </c>
      <c r="E45" s="610">
        <f t="shared" ref="E45:K45" si="4">SUM(E36:E44)</f>
        <v>72.068185874510007</v>
      </c>
      <c r="F45" s="610">
        <f t="shared" si="4"/>
        <v>72.316999999999979</v>
      </c>
      <c r="G45" s="610">
        <f t="shared" si="4"/>
        <v>65.854700000000008</v>
      </c>
      <c r="H45" s="610">
        <f t="shared" si="4"/>
        <v>67.721606774000008</v>
      </c>
      <c r="I45" s="610">
        <f t="shared" si="4"/>
        <v>0</v>
      </c>
      <c r="J45" s="610">
        <f t="shared" si="4"/>
        <v>0</v>
      </c>
      <c r="K45" s="611">
        <f t="shared" si="4"/>
        <v>0</v>
      </c>
      <c r="L45" s="58"/>
    </row>
    <row r="46" spans="2:12" s="2" customFormat="1">
      <c r="B46" s="128"/>
      <c r="C46" s="135"/>
      <c r="L46" s="58"/>
    </row>
    <row r="47" spans="2:12" s="2" customFormat="1">
      <c r="B47" s="392" t="s">
        <v>145</v>
      </c>
      <c r="C47" s="135"/>
      <c r="L47" s="54"/>
    </row>
    <row r="48" spans="2:12" s="2" customFormat="1">
      <c r="B48" s="941" t="s">
        <v>579</v>
      </c>
      <c r="C48" s="151" t="s">
        <v>128</v>
      </c>
      <c r="D48" s="612">
        <v>3.617490562</v>
      </c>
      <c r="E48" s="613">
        <v>4.1455401780000001</v>
      </c>
      <c r="F48" s="613">
        <v>3.5563128799999997</v>
      </c>
      <c r="G48" s="613">
        <v>3.38166593</v>
      </c>
      <c r="H48" s="613">
        <v>4.3370835600099991</v>
      </c>
      <c r="I48" s="613"/>
      <c r="J48" s="613"/>
      <c r="K48" s="614"/>
      <c r="L48" s="58"/>
    </row>
    <row r="49" spans="2:12" s="2" customFormat="1">
      <c r="B49" s="941" t="s">
        <v>580</v>
      </c>
      <c r="C49" s="151" t="s">
        <v>128</v>
      </c>
      <c r="D49" s="615">
        <v>-0.90370800000000007</v>
      </c>
      <c r="E49" s="616">
        <v>-0.92386000000000001</v>
      </c>
      <c r="F49" s="616">
        <v>-0.71399999999999997</v>
      </c>
      <c r="G49" s="616">
        <v>-0.77001600000000003</v>
      </c>
      <c r="H49" s="616">
        <v>-0.86060784000000001</v>
      </c>
      <c r="I49" s="616"/>
      <c r="J49" s="616"/>
      <c r="K49" s="617"/>
      <c r="L49" s="58"/>
    </row>
    <row r="50" spans="2:12" s="2" customFormat="1">
      <c r="B50" s="941" t="s">
        <v>581</v>
      </c>
      <c r="C50" s="151" t="s">
        <v>128</v>
      </c>
      <c r="D50" s="615">
        <v>-2.1958823700000001</v>
      </c>
      <c r="E50" s="616">
        <v>-1.5929524799999999</v>
      </c>
      <c r="F50" s="616">
        <v>-0.59269421</v>
      </c>
      <c r="G50" s="616">
        <v>-1.57499528</v>
      </c>
      <c r="H50" s="616">
        <v>-1.99352916</v>
      </c>
      <c r="I50" s="616"/>
      <c r="J50" s="616"/>
      <c r="K50" s="617"/>
      <c r="L50" s="58"/>
    </row>
    <row r="51" spans="2:12" s="2" customFormat="1">
      <c r="B51" s="941" t="s">
        <v>582</v>
      </c>
      <c r="C51" s="151" t="s">
        <v>128</v>
      </c>
      <c r="D51" s="615">
        <v>57.4251</v>
      </c>
      <c r="E51" s="616">
        <v>0</v>
      </c>
      <c r="F51" s="616">
        <v>0</v>
      </c>
      <c r="G51" s="616">
        <v>0</v>
      </c>
      <c r="H51" s="616">
        <v>0</v>
      </c>
      <c r="I51" s="616"/>
      <c r="J51" s="616"/>
      <c r="K51" s="617"/>
      <c r="L51" s="58"/>
    </row>
    <row r="52" spans="2:12" s="2" customFormat="1">
      <c r="B52" s="941" t="s">
        <v>583</v>
      </c>
      <c r="C52" s="151" t="s">
        <v>128</v>
      </c>
      <c r="D52" s="615">
        <v>-67.455500000000001</v>
      </c>
      <c r="E52" s="616">
        <v>-54.007485874509996</v>
      </c>
      <c r="F52" s="616">
        <v>-51.006599999999999</v>
      </c>
      <c r="G52" s="616">
        <v>-43.965329723330903</v>
      </c>
      <c r="H52" s="616">
        <v>-44.909300000000002</v>
      </c>
      <c r="I52" s="616"/>
      <c r="J52" s="616"/>
      <c r="K52" s="617"/>
      <c r="L52" s="58"/>
    </row>
    <row r="53" spans="2:12" s="2" customFormat="1">
      <c r="B53" s="941" t="s">
        <v>584</v>
      </c>
      <c r="C53" s="151" t="s">
        <v>128</v>
      </c>
      <c r="D53" s="615">
        <v>10.0304</v>
      </c>
      <c r="E53" s="616">
        <v>0</v>
      </c>
      <c r="F53" s="616">
        <v>0</v>
      </c>
      <c r="G53" s="616">
        <v>0</v>
      </c>
      <c r="H53" s="616">
        <v>0</v>
      </c>
      <c r="I53" s="616"/>
      <c r="J53" s="616"/>
      <c r="K53" s="617"/>
      <c r="L53" s="58"/>
    </row>
    <row r="54" spans="2:12" s="2" customFormat="1">
      <c r="B54" s="541" t="s">
        <v>624</v>
      </c>
      <c r="C54" s="151" t="s">
        <v>128</v>
      </c>
      <c r="D54" s="615">
        <v>0</v>
      </c>
      <c r="E54" s="616">
        <v>0</v>
      </c>
      <c r="F54" s="616">
        <v>1.3528895400000001</v>
      </c>
      <c r="G54" s="616">
        <v>0</v>
      </c>
      <c r="H54" s="616">
        <v>0</v>
      </c>
      <c r="I54" s="616"/>
      <c r="J54" s="616"/>
      <c r="K54" s="617"/>
      <c r="L54" s="58"/>
    </row>
    <row r="55" spans="2:12" s="2" customFormat="1">
      <c r="B55" s="541" t="s">
        <v>154</v>
      </c>
      <c r="C55" s="151" t="s">
        <v>128</v>
      </c>
      <c r="D55" s="615">
        <v>0</v>
      </c>
      <c r="E55" s="616">
        <v>0</v>
      </c>
      <c r="F55" s="616">
        <v>-0.1</v>
      </c>
      <c r="G55" s="616">
        <v>0</v>
      </c>
      <c r="H55" s="616">
        <v>0</v>
      </c>
      <c r="I55" s="616"/>
      <c r="J55" s="616"/>
      <c r="K55" s="617"/>
      <c r="L55" s="58"/>
    </row>
    <row r="56" spans="2:12" s="2" customFormat="1">
      <c r="B56" s="541" t="s">
        <v>243</v>
      </c>
      <c r="C56" s="151" t="s">
        <v>128</v>
      </c>
      <c r="D56" s="615"/>
      <c r="E56" s="616"/>
      <c r="F56" s="616"/>
      <c r="G56" s="616"/>
      <c r="H56" s="616"/>
      <c r="I56" s="616"/>
      <c r="J56" s="616"/>
      <c r="K56" s="617"/>
      <c r="L56" s="58"/>
    </row>
    <row r="57" spans="2:12" s="2" customFormat="1">
      <c r="B57" s="541" t="s">
        <v>243</v>
      </c>
      <c r="C57" s="151" t="s">
        <v>128</v>
      </c>
      <c r="D57" s="615"/>
      <c r="E57" s="616"/>
      <c r="F57" s="616"/>
      <c r="G57" s="616"/>
      <c r="H57" s="616"/>
      <c r="I57" s="616"/>
      <c r="J57" s="616"/>
      <c r="K57" s="617"/>
      <c r="L57" s="58"/>
    </row>
    <row r="58" spans="2:12" s="2" customFormat="1">
      <c r="B58" s="541" t="s">
        <v>243</v>
      </c>
      <c r="C58" s="151" t="s">
        <v>128</v>
      </c>
      <c r="D58" s="615"/>
      <c r="E58" s="616"/>
      <c r="F58" s="616"/>
      <c r="G58" s="616"/>
      <c r="H58" s="616"/>
      <c r="I58" s="616"/>
      <c r="J58" s="616"/>
      <c r="K58" s="617"/>
      <c r="L58" s="58"/>
    </row>
    <row r="59" spans="2:12" s="2" customFormat="1">
      <c r="B59" s="541" t="s">
        <v>243</v>
      </c>
      <c r="C59" s="151" t="s">
        <v>128</v>
      </c>
      <c r="D59" s="615"/>
      <c r="E59" s="616"/>
      <c r="F59" s="616"/>
      <c r="G59" s="616"/>
      <c r="H59" s="616"/>
      <c r="I59" s="616"/>
      <c r="J59" s="616"/>
      <c r="K59" s="617"/>
      <c r="L59" s="58"/>
    </row>
    <row r="60" spans="2:12" s="2" customFormat="1">
      <c r="B60" s="541" t="s">
        <v>243</v>
      </c>
      <c r="C60" s="151" t="s">
        <v>128</v>
      </c>
      <c r="D60" s="615"/>
      <c r="E60" s="616"/>
      <c r="F60" s="616"/>
      <c r="G60" s="616"/>
      <c r="H60" s="616"/>
      <c r="I60" s="616"/>
      <c r="J60" s="616"/>
      <c r="K60" s="617"/>
      <c r="L60" s="58"/>
    </row>
    <row r="61" spans="2:12" s="2" customFormat="1">
      <c r="B61" s="541" t="s">
        <v>243</v>
      </c>
      <c r="C61" s="151" t="s">
        <v>128</v>
      </c>
      <c r="D61" s="615"/>
      <c r="E61" s="616"/>
      <c r="F61" s="616"/>
      <c r="G61" s="616"/>
      <c r="H61" s="616"/>
      <c r="I61" s="616"/>
      <c r="J61" s="616"/>
      <c r="K61" s="617"/>
      <c r="L61" s="58"/>
    </row>
    <row r="62" spans="2:12" s="2" customFormat="1">
      <c r="B62" s="541" t="s">
        <v>243</v>
      </c>
      <c r="C62" s="151" t="s">
        <v>128</v>
      </c>
      <c r="D62" s="615"/>
      <c r="E62" s="616"/>
      <c r="F62" s="616"/>
      <c r="G62" s="616"/>
      <c r="H62" s="616"/>
      <c r="I62" s="616"/>
      <c r="J62" s="616"/>
      <c r="K62" s="617"/>
      <c r="L62" s="58"/>
    </row>
    <row r="63" spans="2:12" s="2" customFormat="1">
      <c r="B63" s="948" t="s">
        <v>243</v>
      </c>
      <c r="C63" s="151" t="s">
        <v>128</v>
      </c>
      <c r="D63" s="618"/>
      <c r="E63" s="619"/>
      <c r="F63" s="620"/>
      <c r="G63" s="619"/>
      <c r="H63" s="619"/>
      <c r="I63" s="619"/>
      <c r="J63" s="619"/>
      <c r="K63" s="621"/>
      <c r="L63" s="58"/>
    </row>
    <row r="64" spans="2:12" s="2" customFormat="1">
      <c r="B64" s="766" t="s">
        <v>177</v>
      </c>
      <c r="C64" s="151" t="s">
        <v>128</v>
      </c>
      <c r="D64" s="601">
        <f t="shared" ref="D64:K64" si="5">SUM(D48:D63)</f>
        <v>0.51790019199999904</v>
      </c>
      <c r="E64" s="602">
        <f t="shared" si="5"/>
        <v>-52.378758176509997</v>
      </c>
      <c r="F64" s="602">
        <f t="shared" si="5"/>
        <v>-47.504091790000004</v>
      </c>
      <c r="G64" s="602">
        <f t="shared" si="5"/>
        <v>-42.928675073330901</v>
      </c>
      <c r="H64" s="602">
        <f t="shared" si="5"/>
        <v>-43.426353439990002</v>
      </c>
      <c r="I64" s="602">
        <f t="shared" si="5"/>
        <v>0</v>
      </c>
      <c r="J64" s="602">
        <f t="shared" si="5"/>
        <v>0</v>
      </c>
      <c r="K64" s="603">
        <f t="shared" si="5"/>
        <v>0</v>
      </c>
      <c r="L64" s="58"/>
    </row>
    <row r="65" spans="1:12" s="2" customFormat="1">
      <c r="B65" s="224"/>
      <c r="C65" s="137"/>
      <c r="D65" s="56"/>
      <c r="E65" s="56"/>
      <c r="F65" s="56"/>
      <c r="G65" s="56"/>
      <c r="H65" s="56"/>
      <c r="I65" s="56"/>
      <c r="J65" s="56"/>
      <c r="K65" s="56"/>
      <c r="L65" s="58"/>
    </row>
    <row r="66" spans="1:12" s="2" customFormat="1">
      <c r="B66" s="766" t="s">
        <v>146</v>
      </c>
      <c r="C66" s="151" t="s">
        <v>128</v>
      </c>
      <c r="D66" s="622">
        <f t="shared" ref="D66:K66" si="6">D33+D45+D64</f>
        <v>451.0034128420001</v>
      </c>
      <c r="E66" s="623">
        <f t="shared" si="6"/>
        <v>501.51198641799988</v>
      </c>
      <c r="F66" s="623">
        <f t="shared" si="6"/>
        <v>490.95835712000002</v>
      </c>
      <c r="G66" s="623">
        <f t="shared" si="6"/>
        <v>506.19805895666906</v>
      </c>
      <c r="H66" s="623">
        <f t="shared" si="6"/>
        <v>526.32523110401007</v>
      </c>
      <c r="I66" s="623">
        <f t="shared" si="6"/>
        <v>0</v>
      </c>
      <c r="J66" s="623">
        <f t="shared" si="6"/>
        <v>0</v>
      </c>
      <c r="K66" s="624">
        <f t="shared" si="6"/>
        <v>0</v>
      </c>
      <c r="L66" s="58"/>
    </row>
    <row r="67" spans="1:12" s="2" customFormat="1">
      <c r="B67" s="766" t="s">
        <v>194</v>
      </c>
      <c r="C67" s="151" t="s">
        <v>128</v>
      </c>
      <c r="D67" s="625">
        <v>451</v>
      </c>
      <c r="E67" s="626">
        <v>501.5</v>
      </c>
      <c r="F67" s="626">
        <v>491</v>
      </c>
      <c r="G67" s="626">
        <v>506.2</v>
      </c>
      <c r="H67" s="626">
        <v>526.29999999999995</v>
      </c>
      <c r="I67" s="626"/>
      <c r="J67" s="626"/>
      <c r="K67" s="627"/>
      <c r="L67" s="58"/>
    </row>
    <row r="68" spans="1:12" s="2" customFormat="1">
      <c r="B68" s="224" t="s">
        <v>122</v>
      </c>
      <c r="C68" s="137"/>
      <c r="D68" s="114" t="str">
        <f>IF(ABS(D66-D67)&lt;'RFPR cover'!$F$14,"OK","Error")</f>
        <v>OK</v>
      </c>
      <c r="E68" s="114" t="str">
        <f>IF(ABS(E66-E67)&lt;'RFPR cover'!$F$14,"OK","Error")</f>
        <v>OK</v>
      </c>
      <c r="F68" s="114" t="str">
        <f>IF(ABS(F66-F67)&lt;'RFPR cover'!$F$14,"OK","Error")</f>
        <v>OK</v>
      </c>
      <c r="G68" s="114" t="str">
        <f>IF(ABS(G66-G67)&lt;'RFPR cover'!$F$14,"OK","Error")</f>
        <v>OK</v>
      </c>
      <c r="H68" s="114" t="str">
        <f>IF(ABS(H66-H67)&lt;'RFPR cover'!$F$14,"OK","Error")</f>
        <v>OK</v>
      </c>
      <c r="I68" s="114" t="str">
        <f>IF(ABS(I66-I67)&lt;'RFPR cover'!$F$14,"OK","Error")</f>
        <v>OK</v>
      </c>
      <c r="J68" s="114" t="str">
        <f>IF(ABS(J66-J67)&lt;'RFPR cover'!$F$14,"OK","Error")</f>
        <v>OK</v>
      </c>
      <c r="K68" s="114" t="str">
        <f>IF(ABS(K66-K67)&lt;'RFPR cover'!$F$14,"OK","Error")</f>
        <v>OK</v>
      </c>
      <c r="L68" s="58"/>
    </row>
    <row r="69" spans="1:12" s="2" customFormat="1">
      <c r="B69" s="128"/>
      <c r="C69" s="137"/>
      <c r="D69" s="48"/>
      <c r="E69" s="48"/>
      <c r="F69" s="48"/>
      <c r="G69" s="48"/>
      <c r="H69" s="48"/>
      <c r="I69" s="48"/>
      <c r="J69" s="48"/>
      <c r="K69" s="48"/>
      <c r="L69" s="58"/>
    </row>
    <row r="70" spans="1:12" s="2" customFormat="1">
      <c r="B70" s="128"/>
      <c r="C70" s="135"/>
      <c r="L70" s="54"/>
    </row>
    <row r="71" spans="1:12" s="2" customFormat="1">
      <c r="A71" s="81"/>
      <c r="B71" s="771"/>
      <c r="C71" s="149"/>
      <c r="D71" s="81"/>
      <c r="E71" s="81"/>
      <c r="F71" s="81"/>
      <c r="G71" s="81"/>
      <c r="H71" s="81"/>
      <c r="I71" s="81"/>
      <c r="J71" s="81"/>
      <c r="K71" s="81"/>
      <c r="L71" s="271"/>
    </row>
  </sheetData>
  <conditionalFormatting sqref="D6:K6">
    <cfRule type="expression" dxfId="79" priority="23">
      <formula>AND(D$5="Actuals",E$5="Forecast")</formula>
    </cfRule>
  </conditionalFormatting>
  <conditionalFormatting sqref="D5:K5">
    <cfRule type="expression" dxfId="78" priority="16">
      <formula>AND(D$5="Actuals",E$5="Forecast")</formula>
    </cfRule>
  </conditionalFormatting>
  <conditionalFormatting sqref="I33:K33 D45:K45 D64:K64 D28:H28 D66:K66 I36:K44 H55:K63 D68:K68 I67:K67 I48:K54">
    <cfRule type="expression" dxfId="77" priority="15">
      <formula>D$5="Forecast"</formula>
    </cfRule>
  </conditionalFormatting>
  <conditionalFormatting sqref="I10:K26 I28:K28">
    <cfRule type="expression" dxfId="76" priority="14">
      <formula>I$5="Forecast"</formula>
    </cfRule>
  </conditionalFormatting>
  <conditionalFormatting sqref="H14:H15 H17:H18 H26">
    <cfRule type="expression" dxfId="75" priority="13">
      <formula>H$5="Forecast"</formula>
    </cfRule>
  </conditionalFormatting>
  <conditionalFormatting sqref="G14:G15 G17:G18 G26">
    <cfRule type="expression" dxfId="74" priority="12">
      <formula>G$5="Forecast"</formula>
    </cfRule>
  </conditionalFormatting>
  <conditionalFormatting sqref="H10:H13">
    <cfRule type="expression" dxfId="73" priority="11">
      <formula>H$5="Forecast"</formula>
    </cfRule>
  </conditionalFormatting>
  <conditionalFormatting sqref="G10:G13">
    <cfRule type="expression" dxfId="72" priority="10">
      <formula>G$5="Forecast"</formula>
    </cfRule>
  </conditionalFormatting>
  <conditionalFormatting sqref="H16">
    <cfRule type="expression" dxfId="71" priority="9">
      <formula>H$5="Forecast"</formula>
    </cfRule>
  </conditionalFormatting>
  <conditionalFormatting sqref="G16">
    <cfRule type="expression" dxfId="70" priority="8">
      <formula>G$5="Forecast"</formula>
    </cfRule>
  </conditionalFormatting>
  <conditionalFormatting sqref="H19:H25">
    <cfRule type="expression" dxfId="69" priority="7">
      <formula>H$5="Forecast"</formula>
    </cfRule>
  </conditionalFormatting>
  <conditionalFormatting sqref="G19:G25">
    <cfRule type="expression" dxfId="68" priority="6">
      <formula>G$5="Forecast"</formula>
    </cfRule>
  </conditionalFormatting>
  <conditionalFormatting sqref="D33:H33">
    <cfRule type="expression" dxfId="67" priority="5">
      <formula>D$5="Forecast"</formula>
    </cfRule>
  </conditionalFormatting>
  <conditionalFormatting sqref="D36:H44">
    <cfRule type="expression" dxfId="66" priority="4">
      <formula>D$5="Forecast"</formula>
    </cfRule>
  </conditionalFormatting>
  <conditionalFormatting sqref="D48:G63">
    <cfRule type="expression" dxfId="65" priority="3">
      <formula>D$5="Forecast"</formula>
    </cfRule>
  </conditionalFormatting>
  <conditionalFormatting sqref="D67:H67">
    <cfRule type="expression" dxfId="64" priority="2">
      <formula>D$5="Forecast"</formula>
    </cfRule>
  </conditionalFormatting>
  <conditionalFormatting sqref="H48:H54">
    <cfRule type="expression" dxfId="63" priority="1">
      <formula>H$5="Forecast"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L86"/>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4.453125" customWidth="1"/>
    <col min="3" max="3" width="13.36328125" style="135" customWidth="1"/>
    <col min="4" max="11" width="11.08984375" customWidth="1"/>
    <col min="12" max="12" width="5" customWidth="1"/>
  </cols>
  <sheetData>
    <row r="1" spans="1:12" s="31" customFormat="1" ht="21">
      <c r="A1" s="923" t="s">
        <v>310</v>
      </c>
      <c r="B1" s="924"/>
      <c r="C1" s="147"/>
      <c r="D1" s="120"/>
      <c r="E1" s="120"/>
      <c r="F1" s="120"/>
      <c r="G1" s="120"/>
      <c r="H1" s="120"/>
      <c r="I1" s="120"/>
      <c r="J1" s="120"/>
      <c r="K1" s="120"/>
      <c r="L1" s="121"/>
    </row>
    <row r="2" spans="1:12" s="31" customFormat="1" ht="21">
      <c r="A2" s="908" t="str">
        <f>'RFPR cover'!C5</f>
        <v>WPD-EMID</v>
      </c>
      <c r="B2" s="900"/>
      <c r="C2" s="133"/>
      <c r="D2" s="29"/>
      <c r="E2" s="29"/>
      <c r="F2" s="29"/>
      <c r="G2" s="29"/>
      <c r="H2" s="29"/>
      <c r="I2" s="27"/>
      <c r="J2" s="27"/>
      <c r="K2" s="27"/>
      <c r="L2" s="122"/>
    </row>
    <row r="3" spans="1:12" s="31" customFormat="1" ht="21">
      <c r="A3" s="925">
        <f>'RFPR cover'!C7</f>
        <v>2020</v>
      </c>
      <c r="B3" s="926"/>
      <c r="C3" s="148"/>
      <c r="D3" s="123"/>
      <c r="E3" s="123"/>
      <c r="F3" s="123"/>
      <c r="G3" s="123"/>
      <c r="H3" s="123"/>
      <c r="I3" s="28"/>
      <c r="J3" s="28"/>
      <c r="K3" s="28"/>
      <c r="L3" s="124"/>
    </row>
    <row r="4" spans="1:12" s="2" customFormat="1" ht="12.75" customHeight="1">
      <c r="C4" s="135"/>
    </row>
    <row r="5" spans="1:12" s="2" customFormat="1">
      <c r="B5" s="3"/>
      <c r="C5" s="135"/>
      <c r="D5" s="388" t="str">
        <f>IF(D6&lt;='RFPR cover'!$C$7,"Actuals","N/A")</f>
        <v>Actuals</v>
      </c>
      <c r="E5" s="389" t="str">
        <f>IF(E6&lt;='RFPR cover'!$C$7,"Actuals","N/A")</f>
        <v>Actuals</v>
      </c>
      <c r="F5" s="389" t="str">
        <f>IF(F6&lt;='RFPR cover'!$C$7,"Actuals","N/A")</f>
        <v>Actuals</v>
      </c>
      <c r="G5" s="389" t="str">
        <f>IF(G6&lt;='RFPR cover'!$C$7,"Actuals","N/A")</f>
        <v>Actuals</v>
      </c>
      <c r="H5" s="389" t="str">
        <f>IF(H6&lt;='RFPR cover'!$C$7,"Actuals","N/A")</f>
        <v>Actuals</v>
      </c>
      <c r="I5" s="389" t="str">
        <f>IF(I6&lt;='RFPR cover'!$C$7,"Actuals","N/A")</f>
        <v>N/A</v>
      </c>
      <c r="J5" s="389" t="str">
        <f>IF(J6&lt;='RFPR cover'!$C$7,"Actuals","N/A")</f>
        <v>N/A</v>
      </c>
      <c r="K5" s="390" t="str">
        <f>IF(K6&lt;='RFPR cover'!$C$7,"Actuals","N/A")</f>
        <v>N/A</v>
      </c>
    </row>
    <row r="6" spans="1:12" s="2" customFormat="1">
      <c r="C6" s="135"/>
      <c r="D6" s="116">
        <f>'RFPR cover'!$C$13</f>
        <v>2016</v>
      </c>
      <c r="E6" s="117">
        <f>D6+1</f>
        <v>2017</v>
      </c>
      <c r="F6" s="117">
        <f t="shared" ref="F6:K6" si="0">E6+1</f>
        <v>2018</v>
      </c>
      <c r="G6" s="117">
        <f t="shared" si="0"/>
        <v>2019</v>
      </c>
      <c r="H6" s="117">
        <f t="shared" si="0"/>
        <v>2020</v>
      </c>
      <c r="I6" s="117">
        <f t="shared" si="0"/>
        <v>2021</v>
      </c>
      <c r="J6" s="117">
        <f t="shared" si="0"/>
        <v>2022</v>
      </c>
      <c r="K6" s="194">
        <f t="shared" si="0"/>
        <v>2023</v>
      </c>
    </row>
    <row r="7" spans="1:12" s="2" customFormat="1">
      <c r="C7" s="135"/>
    </row>
    <row r="8" spans="1:12" s="2" customFormat="1">
      <c r="B8" s="51" t="s">
        <v>316</v>
      </c>
      <c r="C8" s="136"/>
      <c r="D8" s="51"/>
      <c r="E8" s="51"/>
      <c r="F8" s="51"/>
      <c r="G8" s="51"/>
      <c r="H8" s="51"/>
      <c r="I8" s="51"/>
      <c r="J8" s="51"/>
      <c r="K8" s="51"/>
      <c r="L8" s="35"/>
    </row>
    <row r="9" spans="1:12" s="2" customFormat="1">
      <c r="B9" s="128" t="s">
        <v>160</v>
      </c>
      <c r="C9" s="151" t="s">
        <v>128</v>
      </c>
      <c r="D9" s="593">
        <v>330.70039999999966</v>
      </c>
      <c r="E9" s="594">
        <v>326.22777776999999</v>
      </c>
      <c r="F9" s="594">
        <v>306.60311111000004</v>
      </c>
      <c r="G9" s="594">
        <v>273.20500000000004</v>
      </c>
      <c r="H9" s="594">
        <v>296.3</v>
      </c>
      <c r="I9" s="594"/>
      <c r="J9" s="594"/>
      <c r="K9" s="604"/>
    </row>
    <row r="10" spans="1:12" s="2" customFormat="1">
      <c r="B10" s="128" t="s">
        <v>161</v>
      </c>
      <c r="C10" s="151" t="s">
        <v>128</v>
      </c>
      <c r="D10" s="595">
        <v>1.2000000000000002</v>
      </c>
      <c r="E10" s="596">
        <v>2.7</v>
      </c>
      <c r="F10" s="596">
        <v>2.2000000000000002</v>
      </c>
      <c r="G10" s="596">
        <v>4.0999999999999996</v>
      </c>
      <c r="H10" s="596">
        <v>2.5999999999999996</v>
      </c>
      <c r="I10" s="596"/>
      <c r="J10" s="596"/>
      <c r="K10" s="605"/>
    </row>
    <row r="11" spans="1:12" s="2" customFormat="1" ht="29.25" customHeight="1">
      <c r="B11" s="129" t="s">
        <v>456</v>
      </c>
      <c r="C11" s="151" t="s">
        <v>128</v>
      </c>
      <c r="D11" s="595">
        <v>-2.0930999999999997</v>
      </c>
      <c r="E11" s="596">
        <v>0</v>
      </c>
      <c r="F11" s="596">
        <v>0</v>
      </c>
      <c r="G11" s="596">
        <v>0</v>
      </c>
      <c r="H11" s="596">
        <v>0</v>
      </c>
      <c r="I11" s="596"/>
      <c r="J11" s="596"/>
      <c r="K11" s="605"/>
    </row>
    <row r="12" spans="1:12" s="2" customFormat="1">
      <c r="B12" s="128" t="s">
        <v>162</v>
      </c>
      <c r="C12" s="151" t="s">
        <v>128</v>
      </c>
      <c r="D12" s="595">
        <v>-68.466800000000006</v>
      </c>
      <c r="E12" s="596">
        <v>-68.447264890000014</v>
      </c>
      <c r="F12" s="596">
        <v>-61.590487869999997</v>
      </c>
      <c r="G12" s="596">
        <v>-54.584455040000002</v>
      </c>
      <c r="H12" s="596">
        <v>-56.648281439999998</v>
      </c>
      <c r="I12" s="596"/>
      <c r="J12" s="596"/>
      <c r="K12" s="605"/>
    </row>
    <row r="13" spans="1:12" s="2" customFormat="1">
      <c r="B13" s="128" t="s">
        <v>163</v>
      </c>
      <c r="C13" s="151" t="s">
        <v>128</v>
      </c>
      <c r="D13" s="595">
        <v>-0.87890000000000001</v>
      </c>
      <c r="E13" s="596">
        <v>0.97222222999999997</v>
      </c>
      <c r="F13" s="596">
        <v>1.29688889</v>
      </c>
      <c r="G13" s="596">
        <v>1.895</v>
      </c>
      <c r="H13" s="596">
        <v>0</v>
      </c>
      <c r="I13" s="596"/>
      <c r="J13" s="596"/>
      <c r="K13" s="605"/>
    </row>
    <row r="14" spans="1:12" s="2" customFormat="1">
      <c r="B14" s="128" t="s">
        <v>164</v>
      </c>
      <c r="C14" s="151" t="s">
        <v>128</v>
      </c>
      <c r="D14" s="631">
        <v>0</v>
      </c>
      <c r="E14" s="632">
        <v>0</v>
      </c>
      <c r="F14" s="632">
        <v>0</v>
      </c>
      <c r="G14" s="632">
        <v>0</v>
      </c>
      <c r="H14" s="632">
        <v>0</v>
      </c>
      <c r="I14" s="632"/>
      <c r="J14" s="632"/>
      <c r="K14" s="633"/>
    </row>
    <row r="15" spans="1:12" s="2" customFormat="1">
      <c r="A15" s="3">
        <v>1</v>
      </c>
      <c r="B15" s="870" t="s">
        <v>243</v>
      </c>
      <c r="C15" s="151" t="s">
        <v>128</v>
      </c>
      <c r="D15" s="593"/>
      <c r="E15" s="594"/>
      <c r="F15" s="594"/>
      <c r="G15" s="594"/>
      <c r="H15" s="594"/>
      <c r="I15" s="594"/>
      <c r="J15" s="594"/>
      <c r="K15" s="604"/>
    </row>
    <row r="16" spans="1:12" s="2" customFormat="1">
      <c r="A16" s="3">
        <v>2</v>
      </c>
      <c r="B16" s="870" t="s">
        <v>243</v>
      </c>
      <c r="C16" s="151" t="s">
        <v>128</v>
      </c>
      <c r="D16" s="595"/>
      <c r="E16" s="596"/>
      <c r="F16" s="596"/>
      <c r="G16" s="596"/>
      <c r="H16" s="596"/>
      <c r="I16" s="596"/>
      <c r="J16" s="596"/>
      <c r="K16" s="605"/>
    </row>
    <row r="17" spans="1:11" s="2" customFormat="1">
      <c r="A17" s="3">
        <v>3</v>
      </c>
      <c r="B17" s="870" t="s">
        <v>243</v>
      </c>
      <c r="C17" s="151" t="s">
        <v>128</v>
      </c>
      <c r="D17" s="595"/>
      <c r="E17" s="596"/>
      <c r="F17" s="596"/>
      <c r="G17" s="596"/>
      <c r="H17" s="596"/>
      <c r="I17" s="596"/>
      <c r="J17" s="596"/>
      <c r="K17" s="605"/>
    </row>
    <row r="18" spans="1:11" s="2" customFormat="1">
      <c r="B18" s="12" t="s">
        <v>165</v>
      </c>
      <c r="C18" s="151" t="s">
        <v>128</v>
      </c>
      <c r="D18" s="634">
        <f>SUM(D9:D17)</f>
        <v>260.46159999999969</v>
      </c>
      <c r="E18" s="635">
        <f t="shared" ref="E18:K18" si="1">SUM(E9:E17)</f>
        <v>261.45273510999999</v>
      </c>
      <c r="F18" s="635">
        <f t="shared" si="1"/>
        <v>248.50951213000002</v>
      </c>
      <c r="G18" s="635">
        <f t="shared" si="1"/>
        <v>224.61554496000008</v>
      </c>
      <c r="H18" s="635">
        <f t="shared" si="1"/>
        <v>242.25171856000003</v>
      </c>
      <c r="I18" s="635">
        <f t="shared" si="1"/>
        <v>0</v>
      </c>
      <c r="J18" s="635">
        <f t="shared" si="1"/>
        <v>0</v>
      </c>
      <c r="K18" s="636">
        <f t="shared" si="1"/>
        <v>0</v>
      </c>
    </row>
    <row r="19" spans="1:11" s="2" customFormat="1">
      <c r="B19" s="128" t="s">
        <v>166</v>
      </c>
      <c r="C19" s="151" t="s">
        <v>128</v>
      </c>
      <c r="D19" s="637">
        <v>126.8</v>
      </c>
      <c r="E19" s="638">
        <v>118.92999999999999</v>
      </c>
      <c r="F19" s="638">
        <v>134.80000000000001</v>
      </c>
      <c r="G19" s="638">
        <v>140.30000000000001</v>
      </c>
      <c r="H19" s="638">
        <v>136.1</v>
      </c>
      <c r="I19" s="638"/>
      <c r="J19" s="638"/>
      <c r="K19" s="639"/>
    </row>
    <row r="20" spans="1:11" s="2" customFormat="1">
      <c r="A20" s="3">
        <v>1</v>
      </c>
      <c r="B20" s="870" t="s">
        <v>243</v>
      </c>
      <c r="C20" s="151" t="s">
        <v>128</v>
      </c>
      <c r="D20" s="593"/>
      <c r="E20" s="594"/>
      <c r="F20" s="594"/>
      <c r="G20" s="594"/>
      <c r="H20" s="594"/>
      <c r="I20" s="594"/>
      <c r="J20" s="594"/>
      <c r="K20" s="604"/>
    </row>
    <row r="21" spans="1:11" s="2" customFormat="1">
      <c r="A21" s="3">
        <v>2</v>
      </c>
      <c r="B21" s="870" t="s">
        <v>243</v>
      </c>
      <c r="C21" s="151" t="s">
        <v>128</v>
      </c>
      <c r="D21" s="595"/>
      <c r="E21" s="596"/>
      <c r="F21" s="596"/>
      <c r="G21" s="596"/>
      <c r="H21" s="596"/>
      <c r="I21" s="596"/>
      <c r="J21" s="596"/>
      <c r="K21" s="605"/>
    </row>
    <row r="22" spans="1:11" s="2" customFormat="1">
      <c r="A22" s="3">
        <v>3</v>
      </c>
      <c r="B22" s="870" t="s">
        <v>243</v>
      </c>
      <c r="C22" s="151" t="s">
        <v>128</v>
      </c>
      <c r="D22" s="595"/>
      <c r="E22" s="596"/>
      <c r="F22" s="596"/>
      <c r="G22" s="596"/>
      <c r="H22" s="596"/>
      <c r="I22" s="596"/>
      <c r="J22" s="596"/>
      <c r="K22" s="605"/>
    </row>
    <row r="23" spans="1:11" s="2" customFormat="1">
      <c r="B23" s="12" t="s">
        <v>167</v>
      </c>
      <c r="C23" s="151" t="s">
        <v>128</v>
      </c>
      <c r="D23" s="609">
        <f>SUM(D18:D22)</f>
        <v>387.2615999999997</v>
      </c>
      <c r="E23" s="610">
        <f t="shared" ref="E23:K23" si="2">SUM(E18:E22)</f>
        <v>380.38273511</v>
      </c>
      <c r="F23" s="610">
        <f t="shared" si="2"/>
        <v>383.30951213000003</v>
      </c>
      <c r="G23" s="610">
        <f t="shared" si="2"/>
        <v>364.91554496000009</v>
      </c>
      <c r="H23" s="610">
        <f t="shared" si="2"/>
        <v>378.35171855999999</v>
      </c>
      <c r="I23" s="610">
        <f t="shared" si="2"/>
        <v>0</v>
      </c>
      <c r="J23" s="610">
        <f t="shared" si="2"/>
        <v>0</v>
      </c>
      <c r="K23" s="611">
        <f t="shared" si="2"/>
        <v>0</v>
      </c>
    </row>
    <row r="24" spans="1:11" s="2" customFormat="1">
      <c r="C24" s="135"/>
      <c r="D24" s="52"/>
      <c r="E24" s="52"/>
      <c r="F24" s="52"/>
      <c r="G24" s="52"/>
      <c r="H24" s="52"/>
      <c r="I24" s="52"/>
      <c r="J24" s="52"/>
      <c r="K24" s="52"/>
    </row>
    <row r="25" spans="1:11" s="2" customFormat="1">
      <c r="B25" s="12" t="s">
        <v>446</v>
      </c>
      <c r="C25" s="151" t="s">
        <v>128</v>
      </c>
      <c r="D25" s="54"/>
    </row>
    <row r="26" spans="1:11" s="2" customFormat="1">
      <c r="A26" s="3">
        <v>1</v>
      </c>
      <c r="B26" s="519" t="s">
        <v>586</v>
      </c>
      <c r="C26" s="151" t="s">
        <v>128</v>
      </c>
      <c r="D26" s="593">
        <v>1.7819</v>
      </c>
      <c r="E26" s="594">
        <v>-0.2</v>
      </c>
      <c r="F26" s="594">
        <v>-0.5</v>
      </c>
      <c r="G26" s="594">
        <v>-0.4</v>
      </c>
      <c r="H26" s="594">
        <v>-0.1</v>
      </c>
      <c r="I26" s="594"/>
      <c r="J26" s="594"/>
      <c r="K26" s="604"/>
    </row>
    <row r="27" spans="1:11" s="2" customFormat="1">
      <c r="A27" s="3">
        <v>2</v>
      </c>
      <c r="B27" s="519" t="s">
        <v>587</v>
      </c>
      <c r="C27" s="151" t="s">
        <v>128</v>
      </c>
      <c r="D27" s="595">
        <v>-11.970559</v>
      </c>
      <c r="E27" s="596">
        <v>-11.341585650000001</v>
      </c>
      <c r="F27" s="596">
        <v>-9.6633205699999998</v>
      </c>
      <c r="G27" s="596">
        <v>-10.3697816</v>
      </c>
      <c r="H27" s="596">
        <v>-10.487382009999999</v>
      </c>
      <c r="I27" s="596"/>
      <c r="J27" s="596"/>
      <c r="K27" s="605"/>
    </row>
    <row r="28" spans="1:11" s="2" customFormat="1">
      <c r="A28" s="3">
        <v>3</v>
      </c>
      <c r="B28" s="519" t="s">
        <v>588</v>
      </c>
      <c r="C28" s="151" t="s">
        <v>128</v>
      </c>
      <c r="D28" s="595">
        <v>41.470539000000002</v>
      </c>
      <c r="E28" s="596">
        <v>1.4223587610000124</v>
      </c>
      <c r="F28" s="596">
        <v>-2.2505218999999999</v>
      </c>
      <c r="G28" s="596">
        <v>-1.7090677000000001</v>
      </c>
      <c r="H28" s="596">
        <v>-1.8662343899999998</v>
      </c>
      <c r="I28" s="596"/>
      <c r="J28" s="596"/>
      <c r="K28" s="605"/>
    </row>
    <row r="29" spans="1:11" s="2" customFormat="1">
      <c r="A29" s="3">
        <v>4</v>
      </c>
      <c r="B29" s="519" t="s">
        <v>589</v>
      </c>
      <c r="C29" s="151" t="s">
        <v>128</v>
      </c>
      <c r="D29" s="595">
        <v>0.10359075999999999</v>
      </c>
      <c r="E29" s="596">
        <v>-0.10333082</v>
      </c>
      <c r="F29" s="596">
        <v>0.58552000000000004</v>
      </c>
      <c r="G29" s="596">
        <v>-2.1771582</v>
      </c>
      <c r="H29" s="596">
        <v>1.7946406699999999</v>
      </c>
      <c r="I29" s="596"/>
      <c r="J29" s="596"/>
      <c r="K29" s="605"/>
    </row>
    <row r="30" spans="1:11" s="2" customFormat="1">
      <c r="A30" s="3">
        <v>5</v>
      </c>
      <c r="B30" s="519" t="s">
        <v>590</v>
      </c>
      <c r="C30" s="151" t="s">
        <v>128</v>
      </c>
      <c r="D30" s="595">
        <v>0.236605126</v>
      </c>
      <c r="E30" s="596">
        <v>0.59618790249999987</v>
      </c>
      <c r="F30" s="596">
        <v>0.39159850699999998</v>
      </c>
      <c r="G30" s="596">
        <v>0.51519723299999998</v>
      </c>
      <c r="H30" s="596">
        <v>1.5192378350000002</v>
      </c>
      <c r="I30" s="596"/>
      <c r="J30" s="596"/>
      <c r="K30" s="605"/>
    </row>
    <row r="31" spans="1:11" s="2" customFormat="1">
      <c r="A31" s="3">
        <v>6</v>
      </c>
      <c r="B31" s="519" t="s">
        <v>591</v>
      </c>
      <c r="C31" s="151" t="s">
        <v>128</v>
      </c>
      <c r="D31" s="595">
        <v>-3.6230866320000001</v>
      </c>
      <c r="E31" s="596">
        <v>-4.1455401780000001</v>
      </c>
      <c r="F31" s="596">
        <v>-3.5563128799999997</v>
      </c>
      <c r="G31" s="596">
        <v>-3.38166593</v>
      </c>
      <c r="H31" s="596">
        <v>-4.3370835600099991</v>
      </c>
      <c r="I31" s="596"/>
      <c r="J31" s="596"/>
      <c r="K31" s="605"/>
    </row>
    <row r="32" spans="1:11" s="2" customFormat="1">
      <c r="A32" s="3">
        <v>7</v>
      </c>
      <c r="B32" s="519" t="s">
        <v>592</v>
      </c>
      <c r="C32" s="151" t="s">
        <v>128</v>
      </c>
      <c r="D32" s="595">
        <v>0.90370800000000007</v>
      </c>
      <c r="E32" s="596">
        <v>0.92386000000000001</v>
      </c>
      <c r="F32" s="596">
        <v>0.71399999999999997</v>
      </c>
      <c r="G32" s="596">
        <v>0.77001600000000003</v>
      </c>
      <c r="H32" s="596">
        <v>0.86060784000000001</v>
      </c>
      <c r="I32" s="596"/>
      <c r="J32" s="596"/>
      <c r="K32" s="605"/>
    </row>
    <row r="33" spans="1:11" s="2" customFormat="1">
      <c r="A33" s="3">
        <v>8</v>
      </c>
      <c r="B33" s="519" t="s">
        <v>593</v>
      </c>
      <c r="C33" s="151" t="s">
        <v>128</v>
      </c>
      <c r="D33" s="595">
        <v>0.54006209732134047</v>
      </c>
      <c r="E33" s="596">
        <v>0.68640031414662783</v>
      </c>
      <c r="F33" s="596">
        <v>0.70084334917211977</v>
      </c>
      <c r="G33" s="596">
        <v>0.55436587934622239</v>
      </c>
      <c r="H33" s="596">
        <v>0.2905250641467495</v>
      </c>
      <c r="I33" s="596"/>
      <c r="J33" s="596"/>
      <c r="K33" s="605"/>
    </row>
    <row r="34" spans="1:11" s="2" customFormat="1">
      <c r="A34" s="3">
        <v>9</v>
      </c>
      <c r="B34" s="519" t="s">
        <v>594</v>
      </c>
      <c r="C34" s="151" t="s">
        <v>128</v>
      </c>
      <c r="D34" s="595">
        <v>-6.0160021449915693</v>
      </c>
      <c r="E34" s="596">
        <v>1.3607651149915696</v>
      </c>
      <c r="F34" s="596">
        <v>2.2170000000000001</v>
      </c>
      <c r="G34" s="596">
        <v>-1.987573</v>
      </c>
      <c r="H34" s="596">
        <v>3.8459652050000006</v>
      </c>
      <c r="I34" s="596"/>
      <c r="J34" s="596"/>
      <c r="K34" s="605"/>
    </row>
    <row r="35" spans="1:11" s="2" customFormat="1">
      <c r="A35" s="3">
        <v>10</v>
      </c>
      <c r="B35" s="519" t="s">
        <v>595</v>
      </c>
      <c r="C35" s="151" t="s">
        <v>128</v>
      </c>
      <c r="D35" s="595">
        <v>-12.030477299934283</v>
      </c>
      <c r="E35" s="596">
        <v>31.962582523814127</v>
      </c>
      <c r="F35" s="596">
        <v>0.88769999999999993</v>
      </c>
      <c r="G35" s="596">
        <v>31.160996522669759</v>
      </c>
      <c r="H35" s="596">
        <v>32.637903929493675</v>
      </c>
      <c r="I35" s="596"/>
      <c r="J35" s="596"/>
      <c r="K35" s="605"/>
    </row>
    <row r="36" spans="1:11" s="2" customFormat="1">
      <c r="A36" s="3">
        <v>11</v>
      </c>
      <c r="B36" s="519" t="s">
        <v>596</v>
      </c>
      <c r="C36" s="151" t="s">
        <v>128</v>
      </c>
      <c r="D36" s="595">
        <v>0</v>
      </c>
      <c r="E36" s="596">
        <v>48.304132944648913</v>
      </c>
      <c r="F36" s="596">
        <v>-12.939378199298357</v>
      </c>
      <c r="G36" s="596">
        <v>-0.24386791904690286</v>
      </c>
      <c r="H36" s="596">
        <v>0</v>
      </c>
      <c r="I36" s="596"/>
      <c r="J36" s="596"/>
      <c r="K36" s="605"/>
    </row>
    <row r="37" spans="1:11" s="2" customFormat="1">
      <c r="A37" s="3">
        <v>12</v>
      </c>
      <c r="B37" s="519" t="s">
        <v>597</v>
      </c>
      <c r="C37" s="151" t="s">
        <v>128</v>
      </c>
      <c r="D37" s="595">
        <v>0</v>
      </c>
      <c r="E37" s="596">
        <v>0.28741558499999997</v>
      </c>
      <c r="F37" s="596">
        <v>-3.7905942319950263</v>
      </c>
      <c r="G37" s="596">
        <v>-3.1054959891172231</v>
      </c>
      <c r="H37" s="596">
        <v>-3.9500606700990399</v>
      </c>
      <c r="I37" s="596"/>
      <c r="J37" s="596"/>
      <c r="K37" s="605"/>
    </row>
    <row r="38" spans="1:11" s="2" customFormat="1">
      <c r="A38" s="3">
        <v>13</v>
      </c>
      <c r="B38" s="519" t="s">
        <v>598</v>
      </c>
      <c r="C38" s="151" t="s">
        <v>128</v>
      </c>
      <c r="D38" s="595">
        <v>0</v>
      </c>
      <c r="E38" s="596">
        <v>0</v>
      </c>
      <c r="F38" s="596">
        <v>0.2324463578744542</v>
      </c>
      <c r="G38" s="596">
        <v>0.27619349815914485</v>
      </c>
      <c r="H38" s="596">
        <v>0.31782837139190367</v>
      </c>
      <c r="I38" s="596"/>
      <c r="J38" s="596"/>
      <c r="K38" s="605"/>
    </row>
    <row r="39" spans="1:11" s="2" customFormat="1">
      <c r="A39" s="3">
        <v>14</v>
      </c>
      <c r="B39" s="519" t="s">
        <v>599</v>
      </c>
      <c r="C39" s="151" t="s">
        <v>128</v>
      </c>
      <c r="D39" s="595">
        <v>-1.5887</v>
      </c>
      <c r="E39" s="596">
        <v>0</v>
      </c>
      <c r="F39" s="596">
        <v>0</v>
      </c>
      <c r="G39" s="596">
        <v>0</v>
      </c>
      <c r="H39" s="596">
        <v>0</v>
      </c>
      <c r="I39" s="596"/>
      <c r="J39" s="596"/>
      <c r="K39" s="605"/>
    </row>
    <row r="40" spans="1:11" s="2" customFormat="1">
      <c r="A40" s="3">
        <v>15</v>
      </c>
      <c r="B40" s="519" t="s">
        <v>600</v>
      </c>
      <c r="C40" s="151" t="s">
        <v>128</v>
      </c>
      <c r="D40" s="595">
        <v>0.7</v>
      </c>
      <c r="E40" s="596">
        <v>-0.1</v>
      </c>
      <c r="F40" s="596">
        <v>-1.65</v>
      </c>
      <c r="G40" s="596">
        <v>-1.0642377185828309</v>
      </c>
      <c r="H40" s="596">
        <v>-0.71614989130433393</v>
      </c>
      <c r="I40" s="596"/>
      <c r="J40" s="596"/>
      <c r="K40" s="605"/>
    </row>
    <row r="41" spans="1:11" s="2" customFormat="1">
      <c r="A41" s="3">
        <v>16</v>
      </c>
      <c r="B41" s="519" t="s">
        <v>601</v>
      </c>
      <c r="C41" s="151" t="s">
        <v>128</v>
      </c>
      <c r="D41" s="595">
        <v>0</v>
      </c>
      <c r="E41" s="596">
        <v>0</v>
      </c>
      <c r="F41" s="596">
        <v>0</v>
      </c>
      <c r="G41" s="596">
        <v>-3.2</v>
      </c>
      <c r="H41" s="596">
        <v>0</v>
      </c>
      <c r="I41" s="596"/>
      <c r="J41" s="596"/>
      <c r="K41" s="605"/>
    </row>
    <row r="42" spans="1:11" s="2" customFormat="1">
      <c r="A42" s="3">
        <v>17</v>
      </c>
      <c r="B42" s="519" t="s">
        <v>606</v>
      </c>
      <c r="C42" s="151" t="s">
        <v>128</v>
      </c>
      <c r="D42" s="595">
        <v>0</v>
      </c>
      <c r="E42" s="596">
        <v>0</v>
      </c>
      <c r="F42" s="596">
        <v>0</v>
      </c>
      <c r="G42" s="596">
        <v>1.1912619272000029</v>
      </c>
      <c r="H42" s="596">
        <v>0.34167854759999994</v>
      </c>
      <c r="I42" s="596"/>
      <c r="J42" s="596"/>
      <c r="K42" s="605"/>
    </row>
    <row r="43" spans="1:11" s="2" customFormat="1">
      <c r="A43" s="3">
        <v>18</v>
      </c>
      <c r="B43" s="519" t="s">
        <v>632</v>
      </c>
      <c r="C43" s="151" t="s">
        <v>128</v>
      </c>
      <c r="D43" s="595">
        <v>0</v>
      </c>
      <c r="E43" s="596">
        <v>0</v>
      </c>
      <c r="F43" s="596">
        <v>0</v>
      </c>
      <c r="G43" s="596">
        <v>0</v>
      </c>
      <c r="H43" s="596">
        <v>-1.8561835349489655</v>
      </c>
      <c r="I43" s="596"/>
      <c r="J43" s="596"/>
      <c r="K43" s="605"/>
    </row>
    <row r="44" spans="1:11" s="2" customFormat="1">
      <c r="A44" s="3">
        <v>19</v>
      </c>
      <c r="B44" s="954" t="s">
        <v>653</v>
      </c>
      <c r="C44" s="151" t="s">
        <v>128</v>
      </c>
      <c r="D44" s="595">
        <v>0</v>
      </c>
      <c r="E44" s="596">
        <v>0</v>
      </c>
      <c r="F44" s="596">
        <v>0</v>
      </c>
      <c r="G44" s="596">
        <v>0</v>
      </c>
      <c r="H44" s="955">
        <v>0.50048638960288372</v>
      </c>
      <c r="I44" s="596"/>
      <c r="J44" s="596"/>
      <c r="K44" s="605"/>
    </row>
    <row r="45" spans="1:11" s="2" customFormat="1">
      <c r="A45" s="3">
        <v>20</v>
      </c>
      <c r="B45" s="519" t="s">
        <v>243</v>
      </c>
      <c r="C45" s="151" t="s">
        <v>128</v>
      </c>
      <c r="D45" s="595"/>
      <c r="E45" s="596"/>
      <c r="F45" s="596"/>
      <c r="G45" s="596"/>
      <c r="H45" s="596"/>
      <c r="I45" s="596"/>
      <c r="J45" s="596"/>
      <c r="K45" s="605"/>
    </row>
    <row r="46" spans="1:11" s="2" customFormat="1">
      <c r="B46" s="12" t="s">
        <v>399</v>
      </c>
      <c r="C46" s="151" t="s">
        <v>128</v>
      </c>
      <c r="D46" s="609">
        <f>SUM(D26:D45)</f>
        <v>10.507579906395492</v>
      </c>
      <c r="E46" s="610">
        <f t="shared" ref="E46:K46" si="3">SUM(E26:E45)</f>
        <v>69.653246498101268</v>
      </c>
      <c r="F46" s="610">
        <f t="shared" si="3"/>
        <v>-28.621019567246805</v>
      </c>
      <c r="G46" s="610">
        <f t="shared" si="3"/>
        <v>6.8291830036281729</v>
      </c>
      <c r="H46" s="610">
        <f t="shared" si="3"/>
        <v>18.795779795872875</v>
      </c>
      <c r="I46" s="610">
        <f t="shared" si="3"/>
        <v>0</v>
      </c>
      <c r="J46" s="610">
        <f t="shared" si="3"/>
        <v>0</v>
      </c>
      <c r="K46" s="611">
        <f t="shared" si="3"/>
        <v>0</v>
      </c>
    </row>
    <row r="47" spans="1:11" s="2" customFormat="1">
      <c r="C47" s="135"/>
      <c r="D47" s="53"/>
      <c r="E47" s="52"/>
      <c r="F47" s="52"/>
      <c r="G47" s="52"/>
      <c r="H47" s="52"/>
      <c r="I47" s="52"/>
      <c r="J47" s="52"/>
      <c r="K47" s="52"/>
    </row>
    <row r="48" spans="1:11" s="2" customFormat="1">
      <c r="B48" s="12" t="s">
        <v>445</v>
      </c>
      <c r="C48" s="151" t="s">
        <v>128</v>
      </c>
      <c r="D48" s="609">
        <f>D46+D23</f>
        <v>397.76917990639521</v>
      </c>
      <c r="E48" s="610">
        <f t="shared" ref="E48:K48" si="4">E46+E23</f>
        <v>450.03598160810128</v>
      </c>
      <c r="F48" s="610">
        <f t="shared" si="4"/>
        <v>354.68849256275325</v>
      </c>
      <c r="G48" s="610">
        <f t="shared" si="4"/>
        <v>371.74472796362824</v>
      </c>
      <c r="H48" s="610">
        <f t="shared" si="4"/>
        <v>397.14749835587287</v>
      </c>
      <c r="I48" s="610">
        <f t="shared" si="4"/>
        <v>0</v>
      </c>
      <c r="J48" s="610">
        <f t="shared" si="4"/>
        <v>0</v>
      </c>
      <c r="K48" s="611">
        <f t="shared" si="4"/>
        <v>0</v>
      </c>
    </row>
    <row r="49" spans="1:11" s="2" customFormat="1">
      <c r="B49" s="2" t="s">
        <v>400</v>
      </c>
      <c r="C49" s="151" t="s">
        <v>128</v>
      </c>
      <c r="D49" s="593">
        <v>397.72649999999987</v>
      </c>
      <c r="E49" s="594">
        <v>450.10283168254432</v>
      </c>
      <c r="F49" s="594">
        <v>354.72907987450111</v>
      </c>
      <c r="G49" s="594">
        <v>371.74712538520316</v>
      </c>
      <c r="H49" s="958">
        <v>397.14865347220285</v>
      </c>
      <c r="I49" s="594"/>
      <c r="J49" s="594"/>
      <c r="K49" s="604"/>
    </row>
    <row r="50" spans="1:11" s="2" customFormat="1">
      <c r="C50" s="135" t="s">
        <v>403</v>
      </c>
      <c r="D50" s="640" t="str">
        <f>IF(D$5="Actuals",IF(ABS(D48-D49)&lt;1,"OK","ERROR"),"N/A")</f>
        <v>OK</v>
      </c>
      <c r="E50" s="641" t="str">
        <f t="shared" ref="E50:K50" si="5">IF(E$5="Actuals",IF(ABS(E48-E49)&lt;1,"OK","ERROR"),"N/A")</f>
        <v>OK</v>
      </c>
      <c r="F50" s="641" t="str">
        <f t="shared" si="5"/>
        <v>OK</v>
      </c>
      <c r="G50" s="641" t="str">
        <f t="shared" si="5"/>
        <v>OK</v>
      </c>
      <c r="H50" s="641" t="str">
        <f t="shared" si="5"/>
        <v>OK</v>
      </c>
      <c r="I50" s="641" t="str">
        <f t="shared" si="5"/>
        <v>N/A</v>
      </c>
      <c r="J50" s="641" t="str">
        <f t="shared" si="5"/>
        <v>N/A</v>
      </c>
      <c r="K50" s="642" t="str">
        <f t="shared" si="5"/>
        <v>N/A</v>
      </c>
    </row>
    <row r="51" spans="1:11" s="2" customFormat="1">
      <c r="B51" s="2" t="s">
        <v>84</v>
      </c>
      <c r="C51" s="135"/>
      <c r="D51" s="54"/>
      <c r="H51" s="949"/>
    </row>
    <row r="52" spans="1:11" s="2" customFormat="1">
      <c r="B52" s="12" t="s">
        <v>401</v>
      </c>
      <c r="C52" s="151"/>
      <c r="D52" s="54"/>
    </row>
    <row r="53" spans="1:11" s="2" customFormat="1">
      <c r="A53" s="3">
        <v>1</v>
      </c>
      <c r="B53" s="518" t="s">
        <v>602</v>
      </c>
      <c r="C53" s="151" t="s">
        <v>128</v>
      </c>
      <c r="D53" s="593">
        <v>50.427699999999994</v>
      </c>
      <c r="E53" s="594">
        <v>51.102999999999994</v>
      </c>
      <c r="F53" s="594">
        <v>50.470199999999998</v>
      </c>
      <c r="G53" s="594">
        <v>51.795461927200002</v>
      </c>
      <c r="H53" s="594">
        <v>50.101078547600004</v>
      </c>
      <c r="I53" s="594"/>
      <c r="J53" s="594"/>
      <c r="K53" s="604"/>
    </row>
    <row r="54" spans="1:11" s="2" customFormat="1">
      <c r="A54" s="3">
        <v>2</v>
      </c>
      <c r="B54" s="518" t="s">
        <v>603</v>
      </c>
      <c r="C54" s="151" t="s">
        <v>128</v>
      </c>
      <c r="D54" s="595">
        <v>29.640500000000003</v>
      </c>
      <c r="E54" s="596">
        <v>64.544661618686945</v>
      </c>
      <c r="F54" s="596">
        <v>-1.6622990800000002</v>
      </c>
      <c r="G54" s="596">
        <v>29.490301220161339</v>
      </c>
      <c r="H54" s="596">
        <v>31.503426070000003</v>
      </c>
      <c r="I54" s="596"/>
      <c r="J54" s="596"/>
      <c r="K54" s="605"/>
    </row>
    <row r="55" spans="1:11" s="2" customFormat="1">
      <c r="A55" s="3">
        <v>3</v>
      </c>
      <c r="B55" s="518" t="s">
        <v>604</v>
      </c>
      <c r="C55" s="151" t="s">
        <v>128</v>
      </c>
      <c r="D55" s="595">
        <v>4.2756999999999987</v>
      </c>
      <c r="E55" s="596">
        <v>11.73737098633438</v>
      </c>
      <c r="F55" s="596">
        <v>13.851829198359837</v>
      </c>
      <c r="G55" s="596">
        <v>19.261262486126093</v>
      </c>
      <c r="H55" s="596">
        <v>18.582928940673931</v>
      </c>
      <c r="I55" s="596"/>
      <c r="J55" s="596"/>
      <c r="K55" s="605"/>
    </row>
    <row r="56" spans="1:11" s="2" customFormat="1">
      <c r="A56" s="3">
        <v>4</v>
      </c>
      <c r="B56" s="518" t="s">
        <v>605</v>
      </c>
      <c r="C56" s="151" t="s">
        <v>128</v>
      </c>
      <c r="D56" s="595">
        <v>5.4821000000000009</v>
      </c>
      <c r="E56" s="596">
        <v>5.3410000000000002</v>
      </c>
      <c r="F56" s="596">
        <v>5.8973775885928452</v>
      </c>
      <c r="G56" s="596">
        <v>4.9605473967756524</v>
      </c>
      <c r="H56" s="596">
        <v>4.795884710000001</v>
      </c>
      <c r="I56" s="596"/>
      <c r="J56" s="596"/>
      <c r="K56" s="605"/>
    </row>
    <row r="57" spans="1:11" s="2" customFormat="1">
      <c r="A57" s="3">
        <v>5</v>
      </c>
      <c r="B57" s="518" t="s">
        <v>243</v>
      </c>
      <c r="C57" s="151" t="s">
        <v>128</v>
      </c>
      <c r="D57" s="595"/>
      <c r="E57" s="596"/>
      <c r="F57" s="596"/>
      <c r="G57" s="596"/>
      <c r="H57" s="596"/>
      <c r="I57" s="596"/>
      <c r="J57" s="596"/>
      <c r="K57" s="605"/>
    </row>
    <row r="58" spans="1:11" s="2" customFormat="1">
      <c r="A58" s="3">
        <v>6</v>
      </c>
      <c r="B58" s="518" t="s">
        <v>243</v>
      </c>
      <c r="C58" s="151" t="s">
        <v>128</v>
      </c>
      <c r="D58" s="595"/>
      <c r="E58" s="596"/>
      <c r="F58" s="596"/>
      <c r="G58" s="596"/>
      <c r="H58" s="596"/>
      <c r="I58" s="596"/>
      <c r="J58" s="596"/>
      <c r="K58" s="605"/>
    </row>
    <row r="59" spans="1:11" s="2" customFormat="1">
      <c r="A59" s="3">
        <v>7</v>
      </c>
      <c r="B59" s="518" t="s">
        <v>243</v>
      </c>
      <c r="C59" s="151" t="s">
        <v>128</v>
      </c>
      <c r="D59" s="595"/>
      <c r="E59" s="596"/>
      <c r="F59" s="596"/>
      <c r="G59" s="596"/>
      <c r="H59" s="596"/>
      <c r="I59" s="596"/>
      <c r="J59" s="596"/>
      <c r="K59" s="605"/>
    </row>
    <row r="60" spans="1:11" s="2" customFormat="1">
      <c r="A60" s="3">
        <v>8</v>
      </c>
      <c r="B60" s="518" t="s">
        <v>243</v>
      </c>
      <c r="C60" s="151" t="s">
        <v>128</v>
      </c>
      <c r="D60" s="595"/>
      <c r="E60" s="596"/>
      <c r="F60" s="596"/>
      <c r="G60" s="596"/>
      <c r="H60" s="596"/>
      <c r="I60" s="596"/>
      <c r="J60" s="596"/>
      <c r="K60" s="605"/>
    </row>
    <row r="61" spans="1:11" s="2" customFormat="1">
      <c r="A61" s="3">
        <v>9</v>
      </c>
      <c r="B61" s="518" t="s">
        <v>243</v>
      </c>
      <c r="C61" s="151" t="s">
        <v>128</v>
      </c>
      <c r="D61" s="595"/>
      <c r="E61" s="596"/>
      <c r="F61" s="596"/>
      <c r="G61" s="596"/>
      <c r="H61" s="596"/>
      <c r="I61" s="596"/>
      <c r="J61" s="596"/>
      <c r="K61" s="605"/>
    </row>
    <row r="62" spans="1:11" s="2" customFormat="1">
      <c r="A62" s="3">
        <v>10</v>
      </c>
      <c r="B62" s="518" t="s">
        <v>243</v>
      </c>
      <c r="C62" s="151" t="s">
        <v>128</v>
      </c>
      <c r="D62" s="595"/>
      <c r="E62" s="596"/>
      <c r="F62" s="596"/>
      <c r="G62" s="596"/>
      <c r="H62" s="596"/>
      <c r="I62" s="596"/>
      <c r="J62" s="596"/>
      <c r="K62" s="605"/>
    </row>
    <row r="63" spans="1:11" s="2" customFormat="1">
      <c r="A63" s="3">
        <v>11</v>
      </c>
      <c r="B63" s="518" t="s">
        <v>243</v>
      </c>
      <c r="C63" s="151" t="s">
        <v>128</v>
      </c>
      <c r="D63" s="595"/>
      <c r="E63" s="596"/>
      <c r="F63" s="596"/>
      <c r="G63" s="596"/>
      <c r="H63" s="596"/>
      <c r="I63" s="596"/>
      <c r="J63" s="596"/>
      <c r="K63" s="605"/>
    </row>
    <row r="64" spans="1:11" s="2" customFormat="1">
      <c r="A64" s="3">
        <v>12</v>
      </c>
      <c r="B64" s="518" t="s">
        <v>243</v>
      </c>
      <c r="C64" s="151" t="s">
        <v>128</v>
      </c>
      <c r="D64" s="595"/>
      <c r="E64" s="596"/>
      <c r="F64" s="596"/>
      <c r="G64" s="596"/>
      <c r="H64" s="596"/>
      <c r="I64" s="596"/>
      <c r="J64" s="596"/>
      <c r="K64" s="605"/>
    </row>
    <row r="65" spans="1:11" s="2" customFormat="1">
      <c r="A65" s="3">
        <v>13</v>
      </c>
      <c r="B65" s="518" t="s">
        <v>243</v>
      </c>
      <c r="C65" s="151" t="s">
        <v>128</v>
      </c>
      <c r="D65" s="595"/>
      <c r="E65" s="596"/>
      <c r="F65" s="596"/>
      <c r="G65" s="596"/>
      <c r="H65" s="596"/>
      <c r="I65" s="596"/>
      <c r="J65" s="596"/>
      <c r="K65" s="605"/>
    </row>
    <row r="66" spans="1:11" s="2" customFormat="1">
      <c r="A66" s="3">
        <v>14</v>
      </c>
      <c r="B66" s="518" t="s">
        <v>243</v>
      </c>
      <c r="C66" s="151" t="s">
        <v>128</v>
      </c>
      <c r="D66" s="595"/>
      <c r="E66" s="596"/>
      <c r="F66" s="596"/>
      <c r="G66" s="596"/>
      <c r="H66" s="596"/>
      <c r="I66" s="596"/>
      <c r="J66" s="596"/>
      <c r="K66" s="605"/>
    </row>
    <row r="67" spans="1:11" s="2" customFormat="1">
      <c r="A67" s="3">
        <v>15</v>
      </c>
      <c r="B67" s="518" t="s">
        <v>243</v>
      </c>
      <c r="C67" s="151" t="s">
        <v>128</v>
      </c>
      <c r="D67" s="595"/>
      <c r="E67" s="596"/>
      <c r="F67" s="596"/>
      <c r="G67" s="596"/>
      <c r="H67" s="596"/>
      <c r="I67" s="596"/>
      <c r="J67" s="596"/>
      <c r="K67" s="605"/>
    </row>
    <row r="68" spans="1:11" s="2" customFormat="1">
      <c r="A68" s="3">
        <v>16</v>
      </c>
      <c r="B68" s="518" t="s">
        <v>243</v>
      </c>
      <c r="C68" s="151" t="s">
        <v>128</v>
      </c>
      <c r="D68" s="595"/>
      <c r="E68" s="596"/>
      <c r="F68" s="596"/>
      <c r="G68" s="596"/>
      <c r="H68" s="596"/>
      <c r="I68" s="596"/>
      <c r="J68" s="596"/>
      <c r="K68" s="605"/>
    </row>
    <row r="69" spans="1:11" s="2" customFormat="1">
      <c r="A69" s="3">
        <v>17</v>
      </c>
      <c r="B69" s="518" t="s">
        <v>243</v>
      </c>
      <c r="C69" s="151" t="s">
        <v>128</v>
      </c>
      <c r="D69" s="595"/>
      <c r="E69" s="596"/>
      <c r="F69" s="596"/>
      <c r="G69" s="596"/>
      <c r="H69" s="596"/>
      <c r="I69" s="596"/>
      <c r="J69" s="596"/>
      <c r="K69" s="605"/>
    </row>
    <row r="70" spans="1:11" s="2" customFormat="1">
      <c r="A70" s="3">
        <v>18</v>
      </c>
      <c r="B70" s="518" t="s">
        <v>243</v>
      </c>
      <c r="C70" s="151" t="s">
        <v>128</v>
      </c>
      <c r="D70" s="595"/>
      <c r="E70" s="596"/>
      <c r="F70" s="596"/>
      <c r="G70" s="596"/>
      <c r="H70" s="596"/>
      <c r="I70" s="596"/>
      <c r="J70" s="596"/>
      <c r="K70" s="605"/>
    </row>
    <row r="71" spans="1:11" s="2" customFormat="1">
      <c r="A71" s="3">
        <v>19</v>
      </c>
      <c r="B71" s="518" t="s">
        <v>243</v>
      </c>
      <c r="C71" s="151" t="s">
        <v>128</v>
      </c>
      <c r="D71" s="595"/>
      <c r="E71" s="596"/>
      <c r="F71" s="596"/>
      <c r="G71" s="596"/>
      <c r="H71" s="596"/>
      <c r="I71" s="596"/>
      <c r="J71" s="596"/>
      <c r="K71" s="605"/>
    </row>
    <row r="72" spans="1:11" s="2" customFormat="1">
      <c r="A72" s="3">
        <v>20</v>
      </c>
      <c r="B72" s="518" t="s">
        <v>243</v>
      </c>
      <c r="C72" s="151" t="s">
        <v>128</v>
      </c>
      <c r="D72" s="595"/>
      <c r="E72" s="596"/>
      <c r="F72" s="596"/>
      <c r="G72" s="596"/>
      <c r="H72" s="596"/>
      <c r="I72" s="596"/>
      <c r="J72" s="596"/>
      <c r="K72" s="605"/>
    </row>
    <row r="73" spans="1:11" s="2" customFormat="1">
      <c r="A73" s="3">
        <v>21</v>
      </c>
      <c r="B73" s="518" t="s">
        <v>243</v>
      </c>
      <c r="C73" s="151" t="s">
        <v>128</v>
      </c>
      <c r="D73" s="595"/>
      <c r="E73" s="596"/>
      <c r="F73" s="596"/>
      <c r="G73" s="596"/>
      <c r="H73" s="596"/>
      <c r="I73" s="596"/>
      <c r="J73" s="596"/>
      <c r="K73" s="605"/>
    </row>
    <row r="74" spans="1:11" s="2" customFormat="1">
      <c r="A74" s="3">
        <v>22</v>
      </c>
      <c r="B74" s="518" t="s">
        <v>243</v>
      </c>
      <c r="C74" s="151" t="s">
        <v>128</v>
      </c>
      <c r="D74" s="595"/>
      <c r="E74" s="596"/>
      <c r="F74" s="596"/>
      <c r="G74" s="596"/>
      <c r="H74" s="596"/>
      <c r="I74" s="596"/>
      <c r="J74" s="596"/>
      <c r="K74" s="605"/>
    </row>
    <row r="75" spans="1:11" s="2" customFormat="1">
      <c r="A75" s="3">
        <v>23</v>
      </c>
      <c r="B75" s="518" t="s">
        <v>243</v>
      </c>
      <c r="C75" s="151" t="s">
        <v>128</v>
      </c>
      <c r="D75" s="595"/>
      <c r="E75" s="596"/>
      <c r="F75" s="596"/>
      <c r="G75" s="596"/>
      <c r="H75" s="596"/>
      <c r="I75" s="596"/>
      <c r="J75" s="596"/>
      <c r="K75" s="605"/>
    </row>
    <row r="76" spans="1:11" s="2" customFormat="1">
      <c r="A76" s="3">
        <v>24</v>
      </c>
      <c r="B76" s="518" t="s">
        <v>243</v>
      </c>
      <c r="C76" s="151" t="s">
        <v>128</v>
      </c>
      <c r="D76" s="595"/>
      <c r="E76" s="596"/>
      <c r="F76" s="596"/>
      <c r="G76" s="596"/>
      <c r="H76" s="596"/>
      <c r="I76" s="596"/>
      <c r="J76" s="596"/>
      <c r="K76" s="605"/>
    </row>
    <row r="77" spans="1:11" s="2" customFormat="1">
      <c r="A77" s="3">
        <v>25</v>
      </c>
      <c r="B77" s="518" t="s">
        <v>243</v>
      </c>
      <c r="C77" s="151" t="s">
        <v>128</v>
      </c>
      <c r="D77" s="631"/>
      <c r="E77" s="632"/>
      <c r="F77" s="632"/>
      <c r="G77" s="632"/>
      <c r="H77" s="632"/>
      <c r="I77" s="632"/>
      <c r="J77" s="632"/>
      <c r="K77" s="633"/>
    </row>
    <row r="78" spans="1:11" s="2" customFormat="1">
      <c r="B78" s="12" t="s">
        <v>171</v>
      </c>
      <c r="C78" s="151" t="s">
        <v>128</v>
      </c>
      <c r="D78" s="609">
        <f>SUM(D53:D77)</f>
        <v>89.825999999999993</v>
      </c>
      <c r="E78" s="610">
        <f t="shared" ref="E78:K78" si="6">SUM(E53:E77)</f>
        <v>132.72603260502132</v>
      </c>
      <c r="F78" s="610">
        <f t="shared" si="6"/>
        <v>68.557107706952678</v>
      </c>
      <c r="G78" s="610">
        <f t="shared" si="6"/>
        <v>105.50757303026309</v>
      </c>
      <c r="H78" s="610">
        <f t="shared" si="6"/>
        <v>104.98331826827393</v>
      </c>
      <c r="I78" s="610">
        <f t="shared" si="6"/>
        <v>0</v>
      </c>
      <c r="J78" s="610">
        <f t="shared" si="6"/>
        <v>0</v>
      </c>
      <c r="K78" s="611">
        <f t="shared" si="6"/>
        <v>0</v>
      </c>
    </row>
    <row r="79" spans="1:11" s="2" customFormat="1">
      <c r="C79" s="135"/>
      <c r="D79" s="53"/>
      <c r="E79" s="52"/>
      <c r="F79" s="52"/>
      <c r="G79" s="52"/>
      <c r="H79" s="52"/>
      <c r="I79" s="52"/>
      <c r="J79" s="52"/>
      <c r="K79" s="52"/>
    </row>
    <row r="80" spans="1:11" s="2" customFormat="1">
      <c r="B80" s="12" t="s">
        <v>402</v>
      </c>
      <c r="C80" s="151" t="s">
        <v>128</v>
      </c>
      <c r="D80" s="609">
        <f>D48-D78</f>
        <v>307.94317990639524</v>
      </c>
      <c r="E80" s="610">
        <f t="shared" ref="E80:K80" si="7">E48-E78</f>
        <v>317.30994900307996</v>
      </c>
      <c r="F80" s="610">
        <f t="shared" si="7"/>
        <v>286.13138485580055</v>
      </c>
      <c r="G80" s="610">
        <f t="shared" si="7"/>
        <v>266.23715493336516</v>
      </c>
      <c r="H80" s="610">
        <f t="shared" si="7"/>
        <v>292.16418008759894</v>
      </c>
      <c r="I80" s="610">
        <f t="shared" si="7"/>
        <v>0</v>
      </c>
      <c r="J80" s="610">
        <f t="shared" si="7"/>
        <v>0</v>
      </c>
      <c r="K80" s="611">
        <f t="shared" si="7"/>
        <v>0</v>
      </c>
    </row>
    <row r="81" spans="2:11" s="2" customFormat="1">
      <c r="B81" s="12" t="s">
        <v>490</v>
      </c>
      <c r="C81" s="151" t="s">
        <v>128</v>
      </c>
      <c r="D81" s="643">
        <f>'R4 - Totex'!D90+'R4 - Totex'!D118</f>
        <v>307.90050000000002</v>
      </c>
      <c r="E81" s="644">
        <f>'R4 - Totex'!E90+'R4 - Totex'!E118</f>
        <v>317.37679907752312</v>
      </c>
      <c r="F81" s="644">
        <f>'R4 - Totex'!F90+'R4 - Totex'!F118</f>
        <v>286.17205086083544</v>
      </c>
      <c r="G81" s="644">
        <f>'R4 - Totex'!G90+'R4 - Totex'!G118</f>
        <v>266.16471925327392</v>
      </c>
      <c r="H81" s="644">
        <f>'R4 - Totex'!H90+'R4 - Totex'!H118</f>
        <v>292.16533520392898</v>
      </c>
      <c r="I81" s="644">
        <f>'R4 - Totex'!I90+'R4 - Totex'!I118</f>
        <v>286.92147411118566</v>
      </c>
      <c r="J81" s="644">
        <f>'R4 - Totex'!J90+'R4 - Totex'!J118</f>
        <v>325.71692512969554</v>
      </c>
      <c r="K81" s="644">
        <f>'R4 - Totex'!K90+'R4 - Totex'!K118</f>
        <v>334.42931330321085</v>
      </c>
    </row>
    <row r="82" spans="2:11" s="2" customFormat="1">
      <c r="C82" s="135" t="s">
        <v>403</v>
      </c>
      <c r="D82" s="571" t="str">
        <f>IF(D$5="Actuals",IF(ABS(D80-('R4 - Totex'!D90+'R4 - Totex'!D118))&lt;'RFPR cover'!$F$14,"OK","Error"),"N/A")</f>
        <v>OK</v>
      </c>
      <c r="E82" s="571" t="str">
        <f>IF(E$5="Actuals",IF(ABS(E80-('R4 - Totex'!E90+'R4 - Totex'!E118))&lt;'RFPR cover'!$F$14,"OK","Error"),"N/A")</f>
        <v>OK</v>
      </c>
      <c r="F82" s="571" t="str">
        <f>IF(F$5="Actuals",IF(ABS(F80-('R4 - Totex'!F90+'R4 - Totex'!F118))&lt;'RFPR cover'!$F$14,"OK","Error"),"N/A")</f>
        <v>OK</v>
      </c>
      <c r="G82" s="571" t="str">
        <f>IF(G$5="Actuals",IF(ABS(G80-('R4 - Totex'!G90+'R4 - Totex'!G118))&lt;'RFPR cover'!$F$14,"OK","Error"),"N/A")</f>
        <v>OK</v>
      </c>
      <c r="H82" s="571" t="str">
        <f>IF(H$5="Actuals",IF(ABS(H80-('R4 - Totex'!H90+'R4 - Totex'!H118))&lt;'RFPR cover'!$F$14,"OK","Error"),"N/A")</f>
        <v>OK</v>
      </c>
      <c r="I82" s="571" t="str">
        <f>IF(I$5="Actuals",IF(ABS(I80-('R4 - Totex'!I90+'R4 - Totex'!I118))&lt;'RFPR cover'!$F$14,"OK","Error"),"N/A")</f>
        <v>N/A</v>
      </c>
      <c r="J82" s="571" t="str">
        <f>IF(J$5="Actuals",IF(ABS(J80-('R4 - Totex'!J90+'R4 - Totex'!J118))&lt;'RFPR cover'!$F$14,"OK","Error"),"N/A")</f>
        <v>N/A</v>
      </c>
      <c r="K82" s="571" t="str">
        <f>IF(K$5="Actuals",IF(ABS(K80-('R4 - Totex'!K90+'R4 - Totex'!K118))&lt;'RFPR cover'!$F$14,"OK","Error"),"N/A")</f>
        <v>N/A</v>
      </c>
    </row>
    <row r="83" spans="2:11" s="2" customFormat="1">
      <c r="C83" s="135"/>
    </row>
    <row r="84" spans="2:11">
      <c r="D84" s="951"/>
      <c r="E84" s="951"/>
      <c r="F84" s="951"/>
      <c r="G84" s="951"/>
      <c r="H84" s="214"/>
      <c r="I84" s="214"/>
      <c r="J84" s="214"/>
      <c r="K84" s="214"/>
    </row>
    <row r="85" spans="2:11">
      <c r="D85" s="214"/>
      <c r="E85" s="950"/>
      <c r="F85" s="950"/>
      <c r="G85" s="214"/>
      <c r="H85" s="214"/>
      <c r="I85" s="214"/>
      <c r="J85" s="214"/>
      <c r="K85" s="214"/>
    </row>
    <row r="86" spans="2:11">
      <c r="D86" s="214"/>
      <c r="E86" s="214"/>
      <c r="F86" s="214"/>
      <c r="G86" s="214"/>
      <c r="H86" s="214"/>
      <c r="I86" s="214"/>
      <c r="J86" s="214"/>
      <c r="K86" s="214"/>
    </row>
  </sheetData>
  <conditionalFormatting sqref="D6:J6">
    <cfRule type="expression" dxfId="62" priority="19">
      <formula>AND(D$5="Actuals",E$5="N/A")</formula>
    </cfRule>
  </conditionalFormatting>
  <conditionalFormatting sqref="D5:K5">
    <cfRule type="expression" dxfId="61" priority="10">
      <formula>AND(D$5="Actuals",E$5="N/A")</formula>
    </cfRule>
  </conditionalFormatting>
  <conditionalFormatting sqref="D9:K14 D44:K46 D48:K50 D80:K80 D82:K82 D18:K19 D23:K23 D53:K78 D26:G43 I26:K43">
    <cfRule type="expression" dxfId="60" priority="5">
      <formula>D$5="N/A"</formula>
    </cfRule>
  </conditionalFormatting>
  <conditionalFormatting sqref="D15:K17">
    <cfRule type="expression" dxfId="59" priority="4">
      <formula>D$5="N/A"</formula>
    </cfRule>
  </conditionalFormatting>
  <conditionalFormatting sqref="D20:K22">
    <cfRule type="expression" dxfId="58" priority="3">
      <formula>D$5="N/A"</formula>
    </cfRule>
  </conditionalFormatting>
  <conditionalFormatting sqref="H26:H43">
    <cfRule type="expression" dxfId="57" priority="1">
      <formula>H$5="N/A"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T154"/>
  <sheetViews>
    <sheetView showGridLines="0" zoomScale="70" zoomScaleNormal="70" workbookViewId="0">
      <pane ySplit="6" topLeftCell="A7" activePane="bottomLeft" state="frozen"/>
      <selection activeCell="B75" sqref="A1:XFD1048576"/>
      <selection pane="bottomLeft" activeCell="H6" sqref="H6"/>
    </sheetView>
  </sheetViews>
  <sheetFormatPr defaultColWidth="9.08984375" defaultRowHeight="12.6"/>
  <cols>
    <col min="1" max="1" width="8.36328125" style="2" customWidth="1"/>
    <col min="2" max="2" width="75.453125" style="128" customWidth="1"/>
    <col min="3" max="3" width="13.36328125" style="135" customWidth="1"/>
    <col min="4" max="11" width="11.08984375" style="2" customWidth="1"/>
    <col min="12" max="13" width="12.90625" style="2" customWidth="1"/>
    <col min="14" max="14" width="25.453125" style="2" customWidth="1"/>
    <col min="15" max="16384" width="9.08984375" style="2"/>
  </cols>
  <sheetData>
    <row r="1" spans="1:20" s="31" customFormat="1" ht="21">
      <c r="A1" s="905" t="s">
        <v>99</v>
      </c>
      <c r="B1" s="927"/>
      <c r="C1" s="277"/>
      <c r="D1" s="255"/>
      <c r="E1" s="255"/>
      <c r="F1" s="255"/>
      <c r="G1" s="255"/>
      <c r="H1" s="255"/>
      <c r="I1" s="256"/>
      <c r="J1" s="256"/>
      <c r="K1" s="257"/>
      <c r="L1" s="257"/>
      <c r="M1" s="257"/>
      <c r="N1" s="257"/>
      <c r="O1" s="362"/>
    </row>
    <row r="2" spans="1:20" s="31" customFormat="1" ht="21">
      <c r="A2" s="908" t="str">
        <f>'RFPR cover'!C5</f>
        <v>WPD-EMID</v>
      </c>
      <c r="B2" s="921"/>
      <c r="C2" s="133"/>
      <c r="D2" s="29"/>
      <c r="E2" s="29"/>
      <c r="F2" s="29"/>
      <c r="G2" s="29"/>
      <c r="H2" s="29"/>
      <c r="I2" s="27"/>
      <c r="J2" s="27"/>
      <c r="K2" s="27"/>
      <c r="L2" s="27"/>
      <c r="M2" s="27"/>
      <c r="N2" s="27"/>
      <c r="O2" s="122"/>
    </row>
    <row r="3" spans="1:20" s="31" customFormat="1" ht="21">
      <c r="A3" s="911">
        <f>'RFPR cover'!C7</f>
        <v>2020</v>
      </c>
      <c r="B3" s="922"/>
      <c r="C3" s="276"/>
      <c r="D3" s="259"/>
      <c r="E3" s="259"/>
      <c r="F3" s="259"/>
      <c r="G3" s="259"/>
      <c r="H3" s="259"/>
      <c r="I3" s="254"/>
      <c r="J3" s="254"/>
      <c r="K3" s="254"/>
      <c r="L3" s="254"/>
      <c r="M3" s="254"/>
      <c r="N3" s="254"/>
      <c r="O3" s="260"/>
    </row>
    <row r="4" spans="1:20" ht="12.75" customHeight="1"/>
    <row r="5" spans="1:20" ht="12.75" customHeight="1">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row>
    <row r="6" spans="1:20" ht="27.75" customHeight="1">
      <c r="B6" s="772"/>
      <c r="D6" s="116">
        <f>'RFPR cover'!$C$13</f>
        <v>2016</v>
      </c>
      <c r="E6" s="117">
        <f>D6+1</f>
        <v>2017</v>
      </c>
      <c r="F6" s="117">
        <f t="shared" ref="F6:K6" si="0">E6+1</f>
        <v>2018</v>
      </c>
      <c r="G6" s="117">
        <f t="shared" si="0"/>
        <v>2019</v>
      </c>
      <c r="H6" s="117">
        <f t="shared" si="0"/>
        <v>2020</v>
      </c>
      <c r="I6" s="117">
        <f t="shared" si="0"/>
        <v>2021</v>
      </c>
      <c r="J6" s="117">
        <f t="shared" si="0"/>
        <v>2022</v>
      </c>
      <c r="K6" s="117">
        <f t="shared" si="0"/>
        <v>2023</v>
      </c>
      <c r="L6" s="100" t="str">
        <f>"Cumulative to "&amp;'RFPR cover'!$C$7</f>
        <v>Cumulative to 2020</v>
      </c>
      <c r="M6" s="118" t="s">
        <v>109</v>
      </c>
      <c r="N6" s="118" t="s">
        <v>311</v>
      </c>
    </row>
    <row r="7" spans="1:20" s="35" customFormat="1">
      <c r="B7" s="773"/>
      <c r="C7" s="157"/>
      <c r="D7" s="58"/>
      <c r="E7" s="58"/>
      <c r="F7" s="58"/>
      <c r="G7" s="58"/>
      <c r="H7" s="58"/>
      <c r="I7" s="58"/>
      <c r="J7" s="58"/>
      <c r="K7" s="58"/>
      <c r="L7" s="58"/>
      <c r="M7" s="58"/>
      <c r="N7" s="58"/>
    </row>
    <row r="8" spans="1:20" s="35" customFormat="1">
      <c r="B8" s="774" t="s">
        <v>390</v>
      </c>
      <c r="C8" s="290"/>
      <c r="D8" s="320"/>
      <c r="E8" s="320"/>
      <c r="F8" s="320"/>
      <c r="G8" s="320"/>
      <c r="H8" s="320"/>
      <c r="I8" s="320"/>
      <c r="J8" s="320"/>
      <c r="K8" s="320"/>
      <c r="L8" s="320"/>
      <c r="M8" s="320"/>
      <c r="N8" s="320"/>
    </row>
    <row r="9" spans="1:20" s="35" customFormat="1">
      <c r="B9" s="773"/>
      <c r="C9" s="157"/>
      <c r="D9" s="58"/>
      <c r="E9" s="58"/>
      <c r="F9" s="58"/>
      <c r="G9" s="58"/>
      <c r="H9" s="58"/>
      <c r="I9" s="58"/>
      <c r="J9" s="58"/>
      <c r="K9" s="58"/>
      <c r="L9" s="58"/>
      <c r="M9" s="58"/>
      <c r="N9" s="58"/>
    </row>
    <row r="10" spans="1:20">
      <c r="A10" s="35"/>
      <c r="B10" s="775" t="str">
        <f>Data!B48</f>
        <v>Totex</v>
      </c>
      <c r="C10" s="149"/>
      <c r="D10" s="82"/>
      <c r="E10" s="82"/>
      <c r="F10" s="82"/>
      <c r="G10" s="82"/>
      <c r="H10" s="82"/>
      <c r="I10" s="82"/>
      <c r="J10" s="82"/>
      <c r="K10" s="82"/>
      <c r="L10" s="82"/>
      <c r="M10" s="82"/>
      <c r="N10" s="82"/>
    </row>
    <row r="11" spans="1:20" s="35" customFormat="1">
      <c r="B11" s="776"/>
      <c r="C11" s="137"/>
      <c r="D11" s="319"/>
      <c r="E11" s="319"/>
      <c r="F11" s="319"/>
      <c r="G11" s="319"/>
      <c r="H11" s="319"/>
      <c r="I11" s="319"/>
      <c r="J11" s="319"/>
      <c r="K11" s="319"/>
      <c r="L11" s="319"/>
      <c r="M11" s="319"/>
      <c r="N11" s="319"/>
    </row>
    <row r="12" spans="1:20">
      <c r="A12" s="35"/>
      <c r="B12" s="304" t="s">
        <v>34</v>
      </c>
      <c r="C12" s="154" t="str">
        <f>'RFPR cover'!$C$14</f>
        <v>£m 12/13</v>
      </c>
      <c r="D12" s="481">
        <v>290.38539753038361</v>
      </c>
      <c r="E12" s="482">
        <v>293.04344400696232</v>
      </c>
      <c r="F12" s="482">
        <v>254.70028716652448</v>
      </c>
      <c r="G12" s="482">
        <v>229.86944485610996</v>
      </c>
      <c r="H12" s="956">
        <v>245.95740942816704</v>
      </c>
      <c r="I12" s="482">
        <v>237.50531019581996</v>
      </c>
      <c r="J12" s="482">
        <v>264.00887556024003</v>
      </c>
      <c r="K12" s="482">
        <v>264.26583049634996</v>
      </c>
      <c r="L12" s="106">
        <f>SUM(D12:INDEX(D12:K12,0,MATCH('RFPR cover'!$C$7,$D$6:$K$6,0)))</f>
        <v>1313.9559829881475</v>
      </c>
      <c r="M12" s="107">
        <f>SUM(D12:K12)</f>
        <v>2079.7359992405572</v>
      </c>
      <c r="N12" s="63"/>
      <c r="O12" s="63"/>
    </row>
    <row r="13" spans="1:20" ht="25.2">
      <c r="A13" s="35"/>
      <c r="B13" s="777" t="s">
        <v>502</v>
      </c>
      <c r="C13" s="154" t="str">
        <f>'RFPR cover'!$C$14</f>
        <v>£m 12/13</v>
      </c>
      <c r="D13" s="483">
        <v>285.11734732566617</v>
      </c>
      <c r="E13" s="484">
        <v>279.22331127351117</v>
      </c>
      <c r="F13" s="484">
        <v>248.50927533928535</v>
      </c>
      <c r="G13" s="484">
        <v>253.42698243379783</v>
      </c>
      <c r="H13" s="484">
        <v>250.61680119902249</v>
      </c>
      <c r="I13" s="484">
        <v>257.31796311884767</v>
      </c>
      <c r="J13" s="484">
        <v>270.42725934561298</v>
      </c>
      <c r="K13" s="484">
        <v>262.86505186505076</v>
      </c>
      <c r="L13" s="104">
        <f>SUM(D13:INDEX(D13:K13,0,MATCH('RFPR cover'!$C$7,$D$6:$K$6,0)))</f>
        <v>1316.8937175712831</v>
      </c>
      <c r="M13" s="105">
        <f>SUM(D13:K13)</f>
        <v>2107.5039919007945</v>
      </c>
      <c r="N13" s="63"/>
      <c r="O13" s="63"/>
    </row>
    <row r="14" spans="1:20">
      <c r="A14" s="35"/>
      <c r="B14" s="778" t="s">
        <v>195</v>
      </c>
      <c r="C14" s="154" t="str">
        <f>'RFPR cover'!$C$14</f>
        <v>£m 12/13</v>
      </c>
      <c r="D14" s="101">
        <f>D13-D12</f>
        <v>-5.26805020471744</v>
      </c>
      <c r="E14" s="102">
        <f t="shared" ref="E14:M14" si="1">E13-E12</f>
        <v>-13.820132733451146</v>
      </c>
      <c r="F14" s="102">
        <f t="shared" si="1"/>
        <v>-6.191011827239123</v>
      </c>
      <c r="G14" s="102">
        <f t="shared" si="1"/>
        <v>23.557537577687867</v>
      </c>
      <c r="H14" s="102">
        <f t="shared" si="1"/>
        <v>4.65939177085545</v>
      </c>
      <c r="I14" s="102">
        <f t="shared" si="1"/>
        <v>19.812652923027713</v>
      </c>
      <c r="J14" s="102">
        <f t="shared" si="1"/>
        <v>6.4183837853729528</v>
      </c>
      <c r="K14" s="102">
        <f t="shared" si="1"/>
        <v>-1.4007786312992039</v>
      </c>
      <c r="L14" s="101">
        <f t="shared" si="1"/>
        <v>2.9377345831355797</v>
      </c>
      <c r="M14" s="103">
        <f t="shared" si="1"/>
        <v>27.767992660237269</v>
      </c>
      <c r="N14" s="63"/>
      <c r="O14" s="1014"/>
      <c r="P14" s="1014"/>
      <c r="Q14" s="1014"/>
      <c r="R14"/>
      <c r="S14"/>
      <c r="T14"/>
    </row>
    <row r="15" spans="1:20" ht="13.2">
      <c r="A15" s="35"/>
      <c r="B15" s="778"/>
      <c r="C15" s="154"/>
      <c r="D15" s="59"/>
      <c r="E15" s="59"/>
      <c r="F15" s="59"/>
      <c r="G15" s="59"/>
      <c r="H15" s="59"/>
      <c r="I15" s="59"/>
      <c r="J15" s="59"/>
      <c r="K15" s="59"/>
      <c r="L15" s="59"/>
      <c r="M15" s="59"/>
      <c r="O15" s="64"/>
      <c r="P15" s="64"/>
      <c r="Q15" s="64"/>
      <c r="R15"/>
      <c r="S15"/>
      <c r="T15"/>
    </row>
    <row r="16" spans="1:20">
      <c r="A16" s="35"/>
      <c r="B16" s="772" t="s">
        <v>178</v>
      </c>
      <c r="C16" s="135" t="s">
        <v>7</v>
      </c>
      <c r="D16" s="108">
        <f>1-INDEX(Data!$D$73:$D$100,MATCH('RFPR cover'!$C$5,Data!$B$73:$B$100,0),0)</f>
        <v>0.30000000000000004</v>
      </c>
      <c r="E16" s="109">
        <f>1-INDEX(Data!$D$73:$D$100,MATCH('RFPR cover'!$C$5,Data!$B$73:$B$100,0),0)</f>
        <v>0.30000000000000004</v>
      </c>
      <c r="F16" s="109">
        <f>1-INDEX(Data!$D$73:$D$100,MATCH('RFPR cover'!$C$5,Data!$B$73:$B$100,0),0)</f>
        <v>0.30000000000000004</v>
      </c>
      <c r="G16" s="109">
        <f>1-INDEX(Data!$D$73:$D$100,MATCH('RFPR cover'!$C$5,Data!$B$73:$B$100,0),0)</f>
        <v>0.30000000000000004</v>
      </c>
      <c r="H16" s="109">
        <f>1-INDEX(Data!$D$73:$D$100,MATCH('RFPR cover'!$C$5,Data!$B$73:$B$100,0),0)</f>
        <v>0.30000000000000004</v>
      </c>
      <c r="I16" s="109">
        <f>1-INDEX(Data!$D$73:$D$100,MATCH('RFPR cover'!$C$5,Data!$B$73:$B$100,0),0)</f>
        <v>0.30000000000000004</v>
      </c>
      <c r="J16" s="109">
        <f>1-INDEX(Data!$D$73:$D$100,MATCH('RFPR cover'!$C$5,Data!$B$73:$B$100,0),0)</f>
        <v>0.30000000000000004</v>
      </c>
      <c r="K16" s="110">
        <f>1-INDEX(Data!$D$73:$D$100,MATCH('RFPR cover'!$C$5,Data!$B$73:$B$100,0),0)</f>
        <v>0.30000000000000004</v>
      </c>
      <c r="L16" s="62"/>
      <c r="M16" s="62"/>
      <c r="O16"/>
      <c r="P16"/>
      <c r="Q16"/>
      <c r="R16"/>
      <c r="S16"/>
      <c r="T16"/>
    </row>
    <row r="17" spans="1:20">
      <c r="A17" s="35"/>
      <c r="B17" s="772"/>
      <c r="O17"/>
      <c r="P17"/>
      <c r="Q17"/>
      <c r="R17"/>
      <c r="S17"/>
      <c r="T17"/>
    </row>
    <row r="18" spans="1:20">
      <c r="A18" s="35"/>
      <c r="B18" s="779" t="s">
        <v>183</v>
      </c>
      <c r="C18" s="158" t="str">
        <f>'RFPR cover'!$C$14</f>
        <v>£m 12/13</v>
      </c>
      <c r="D18" s="94">
        <f>D14*D16</f>
        <v>-1.5804150614152321</v>
      </c>
      <c r="E18" s="95">
        <f t="shared" ref="E18:K18" si="2">E14*E16</f>
        <v>-4.1460398200353445</v>
      </c>
      <c r="F18" s="95">
        <f t="shared" si="2"/>
        <v>-1.8573035481717373</v>
      </c>
      <c r="G18" s="95">
        <f t="shared" si="2"/>
        <v>7.0672612733063609</v>
      </c>
      <c r="H18" s="95">
        <f t="shared" si="2"/>
        <v>1.3978175312566352</v>
      </c>
      <c r="I18" s="95">
        <f t="shared" si="2"/>
        <v>5.9437958769083146</v>
      </c>
      <c r="J18" s="95">
        <f t="shared" si="2"/>
        <v>1.925515135611886</v>
      </c>
      <c r="K18" s="95">
        <f t="shared" si="2"/>
        <v>-0.42023358938976124</v>
      </c>
      <c r="L18" s="94">
        <f>SUM(D18:INDEX(D18:K18,0,MATCH('RFPR cover'!$C$7,$D$6:$K$6,0)))</f>
        <v>0.88132037494068194</v>
      </c>
      <c r="M18" s="96">
        <f>SUM(D18:K18)</f>
        <v>8.3303977980711199</v>
      </c>
      <c r="O18"/>
      <c r="P18"/>
      <c r="Q18"/>
      <c r="R18"/>
      <c r="S18"/>
      <c r="T18"/>
    </row>
    <row r="19" spans="1:20">
      <c r="A19" s="35"/>
      <c r="B19" s="779" t="s">
        <v>280</v>
      </c>
      <c r="C19" s="158" t="str">
        <f>'RFPR cover'!$C$14</f>
        <v>£m 12/13</v>
      </c>
      <c r="D19" s="91">
        <f>D14*(1-D16)</f>
        <v>-3.6876351433022077</v>
      </c>
      <c r="E19" s="92">
        <f t="shared" ref="E19:K19" si="3">E14*(1-E16)</f>
        <v>-9.6740929134158016</v>
      </c>
      <c r="F19" s="92">
        <f t="shared" si="3"/>
        <v>-4.3337082790673858</v>
      </c>
      <c r="G19" s="92">
        <f t="shared" si="3"/>
        <v>16.490276304381506</v>
      </c>
      <c r="H19" s="92">
        <f t="shared" si="3"/>
        <v>3.261574239598815</v>
      </c>
      <c r="I19" s="92">
        <f t="shared" si="3"/>
        <v>13.868857046119398</v>
      </c>
      <c r="J19" s="92">
        <f t="shared" si="3"/>
        <v>4.4928686497610668</v>
      </c>
      <c r="K19" s="92">
        <f t="shared" si="3"/>
        <v>-0.98054504190944269</v>
      </c>
      <c r="L19" s="91">
        <f>SUM(D19:INDEX(D19:K19,0,MATCH('RFPR cover'!$C$7,$D$6:$K$6,0)))</f>
        <v>2.0564142081949264</v>
      </c>
      <c r="M19" s="93">
        <f>SUM(D19:K19)</f>
        <v>19.437594862165948</v>
      </c>
      <c r="O19"/>
      <c r="P19"/>
      <c r="Q19"/>
      <c r="R19"/>
      <c r="S19"/>
      <c r="T19"/>
    </row>
    <row r="20" spans="1:20">
      <c r="A20" s="35"/>
      <c r="B20" s="772"/>
      <c r="O20"/>
      <c r="P20"/>
      <c r="Q20"/>
      <c r="R20"/>
      <c r="S20"/>
      <c r="T20"/>
    </row>
    <row r="21" spans="1:20">
      <c r="A21" s="35"/>
      <c r="B21" s="780" t="s">
        <v>182</v>
      </c>
      <c r="N21" s="63"/>
      <c r="O21"/>
      <c r="P21"/>
      <c r="Q21"/>
      <c r="R21"/>
      <c r="S21"/>
      <c r="T21"/>
    </row>
    <row r="22" spans="1:20">
      <c r="A22" s="268" t="s">
        <v>151</v>
      </c>
      <c r="B22" s="770" t="s">
        <v>621</v>
      </c>
      <c r="C22" s="154" t="str">
        <f>'RFPR cover'!$C$14</f>
        <v>£m 12/13</v>
      </c>
      <c r="D22" s="581">
        <v>0</v>
      </c>
      <c r="E22" s="582">
        <v>11.799136345564325</v>
      </c>
      <c r="F22" s="582">
        <v>-11.098072536161318</v>
      </c>
      <c r="G22" s="582">
        <v>-0.26729853626705197</v>
      </c>
      <c r="H22" s="582">
        <v>0</v>
      </c>
      <c r="I22" s="582">
        <v>0</v>
      </c>
      <c r="J22" s="582">
        <v>0</v>
      </c>
      <c r="K22" s="582">
        <v>0</v>
      </c>
      <c r="L22" s="583">
        <f>SUM(D22:INDEX(D22:K22,0,MATCH('RFPR cover'!$C$7,$D$6:$K$6,0)))</f>
        <v>0.43376527313595442</v>
      </c>
      <c r="M22" s="584">
        <f t="shared" ref="M22:M27" si="4">SUM(D22:K22)</f>
        <v>0.43376527313595442</v>
      </c>
      <c r="N22" s="572" t="s">
        <v>629</v>
      </c>
      <c r="O22"/>
      <c r="P22"/>
      <c r="Q22"/>
      <c r="R22"/>
      <c r="S22"/>
      <c r="T22"/>
    </row>
    <row r="23" spans="1:20">
      <c r="A23" s="268" t="s">
        <v>152</v>
      </c>
      <c r="B23" s="770" t="s">
        <v>622</v>
      </c>
      <c r="C23" s="154" t="str">
        <f>'RFPR cover'!$C$14</f>
        <v>£m 12/13</v>
      </c>
      <c r="D23" s="585">
        <v>0</v>
      </c>
      <c r="E23" s="586">
        <v>0</v>
      </c>
      <c r="F23" s="586">
        <v>-13.411143419370534</v>
      </c>
      <c r="G23" s="586">
        <v>-1.3268356449276484</v>
      </c>
      <c r="H23" s="586">
        <v>4.5524386062598117</v>
      </c>
      <c r="I23" s="586">
        <v>3.395</v>
      </c>
      <c r="J23" s="586">
        <v>3.395</v>
      </c>
      <c r="K23" s="586">
        <v>3.3955404580383717</v>
      </c>
      <c r="L23" s="587">
        <f>SUM(D23:INDEX(D23:K23,0,MATCH('RFPR cover'!$C$7,$D$6:$K$6,0)))</f>
        <v>-10.185540458038371</v>
      </c>
      <c r="M23" s="588">
        <f t="shared" si="4"/>
        <v>0</v>
      </c>
      <c r="N23" s="573" t="s">
        <v>629</v>
      </c>
      <c r="O23"/>
      <c r="P23"/>
      <c r="Q23"/>
      <c r="R23"/>
      <c r="S23"/>
      <c r="T23"/>
    </row>
    <row r="24" spans="1:20">
      <c r="A24" s="268" t="s">
        <v>153</v>
      </c>
      <c r="B24" s="770" t="s">
        <v>636</v>
      </c>
      <c r="C24" s="154" t="str">
        <f>'RFPR cover'!$C$14</f>
        <v>£m 12/13</v>
      </c>
      <c r="D24" s="585">
        <v>0</v>
      </c>
      <c r="E24" s="586">
        <v>0</v>
      </c>
      <c r="F24" s="586">
        <v>0</v>
      </c>
      <c r="G24" s="586">
        <v>0</v>
      </c>
      <c r="H24" s="586">
        <v>-0.73621589450807501</v>
      </c>
      <c r="I24" s="586">
        <v>-0.58612025915232235</v>
      </c>
      <c r="J24" s="586">
        <v>3.0518608868200001</v>
      </c>
      <c r="K24" s="586">
        <v>2.3399624616399999</v>
      </c>
      <c r="L24" s="587">
        <f>SUM(D24:INDEX(D24:K24,0,MATCH('RFPR cover'!$C$7,$D$6:$K$6,0)))</f>
        <v>-0.73621589450807501</v>
      </c>
      <c r="M24" s="588">
        <f t="shared" si="4"/>
        <v>4.0694871947996027</v>
      </c>
      <c r="N24" s="573" t="s">
        <v>629</v>
      </c>
      <c r="O24"/>
      <c r="P24"/>
      <c r="Q24"/>
      <c r="R24"/>
      <c r="S24" s="65"/>
      <c r="T24"/>
    </row>
    <row r="25" spans="1:20">
      <c r="A25" s="268" t="s">
        <v>168</v>
      </c>
      <c r="B25" s="770" t="s">
        <v>242</v>
      </c>
      <c r="C25" s="154" t="str">
        <f>'RFPR cover'!$C$14</f>
        <v>£m 12/13</v>
      </c>
      <c r="D25" s="585">
        <v>0</v>
      </c>
      <c r="E25" s="586">
        <v>0</v>
      </c>
      <c r="F25" s="586">
        <v>0</v>
      </c>
      <c r="G25" s="586">
        <v>0</v>
      </c>
      <c r="H25" s="586"/>
      <c r="I25" s="586"/>
      <c r="J25" s="586"/>
      <c r="K25" s="586"/>
      <c r="L25" s="587">
        <f>SUM(D25:INDEX(D25:K25,0,MATCH('RFPR cover'!$C$7,$D$6:$K$6,0)))</f>
        <v>0</v>
      </c>
      <c r="M25" s="588">
        <f t="shared" si="4"/>
        <v>0</v>
      </c>
      <c r="N25" s="573"/>
      <c r="O25"/>
      <c r="P25"/>
      <c r="Q25"/>
      <c r="R25"/>
      <c r="S25"/>
      <c r="T25"/>
    </row>
    <row r="26" spans="1:20">
      <c r="A26" s="268" t="s">
        <v>169</v>
      </c>
      <c r="B26" s="770" t="s">
        <v>242</v>
      </c>
      <c r="C26" s="154" t="str">
        <f>'RFPR cover'!$C$14</f>
        <v>£m 12/13</v>
      </c>
      <c r="D26" s="585">
        <v>0</v>
      </c>
      <c r="E26" s="586">
        <v>0</v>
      </c>
      <c r="F26" s="586">
        <v>0</v>
      </c>
      <c r="G26" s="586">
        <v>0</v>
      </c>
      <c r="H26" s="586"/>
      <c r="I26" s="586"/>
      <c r="J26" s="586"/>
      <c r="K26" s="586"/>
      <c r="L26" s="587">
        <f>SUM(D26:INDEX(D26:K26,0,MATCH('RFPR cover'!$C$7,$D$6:$K$6,0)))</f>
        <v>0</v>
      </c>
      <c r="M26" s="588">
        <f t="shared" si="4"/>
        <v>0</v>
      </c>
      <c r="N26" s="573"/>
      <c r="O26"/>
      <c r="P26"/>
      <c r="Q26"/>
      <c r="R26"/>
      <c r="S26"/>
      <c r="T26"/>
    </row>
    <row r="27" spans="1:20">
      <c r="A27" s="268" t="s">
        <v>170</v>
      </c>
      <c r="B27" s="770" t="s">
        <v>242</v>
      </c>
      <c r="C27" s="154" t="str">
        <f>'RFPR cover'!$C$14</f>
        <v>£m 12/13</v>
      </c>
      <c r="D27" s="589">
        <v>0</v>
      </c>
      <c r="E27" s="590">
        <v>0</v>
      </c>
      <c r="F27" s="590">
        <v>0</v>
      </c>
      <c r="G27" s="590">
        <v>0</v>
      </c>
      <c r="H27" s="590"/>
      <c r="I27" s="590"/>
      <c r="J27" s="590"/>
      <c r="K27" s="590"/>
      <c r="L27" s="591">
        <f>SUM(D27:INDEX(D27:K27,0,MATCH('RFPR cover'!$C$7,$D$6:$K$6,0)))</f>
        <v>0</v>
      </c>
      <c r="M27" s="592">
        <f t="shared" si="4"/>
        <v>0</v>
      </c>
      <c r="N27" s="574"/>
      <c r="O27"/>
      <c r="P27"/>
      <c r="Q27"/>
      <c r="R27"/>
      <c r="S27"/>
      <c r="T27"/>
    </row>
    <row r="28" spans="1:20">
      <c r="A28" s="35"/>
      <c r="B28" s="780" t="s">
        <v>190</v>
      </c>
      <c r="C28" s="154" t="str">
        <f>'RFPR cover'!$C$14</f>
        <v>£m 12/13</v>
      </c>
      <c r="D28" s="101">
        <f>SUM(D22:D27)</f>
        <v>0</v>
      </c>
      <c r="E28" s="102">
        <f t="shared" ref="E28:K28" si="5">SUM(E22:E27)</f>
        <v>11.799136345564325</v>
      </c>
      <c r="F28" s="102">
        <f t="shared" si="5"/>
        <v>-24.50921595553185</v>
      </c>
      <c r="G28" s="102">
        <f t="shared" si="5"/>
        <v>-1.5941341811947003</v>
      </c>
      <c r="H28" s="102">
        <f t="shared" si="5"/>
        <v>3.8162227117517364</v>
      </c>
      <c r="I28" s="102">
        <f t="shared" si="5"/>
        <v>2.8088797408476776</v>
      </c>
      <c r="J28" s="102">
        <f t="shared" si="5"/>
        <v>6.4468608868199997</v>
      </c>
      <c r="K28" s="102">
        <f t="shared" si="5"/>
        <v>5.7355029196783711</v>
      </c>
      <c r="L28" s="101">
        <f>SUM(D28:INDEX(D28:K28,0,MATCH('RFPR cover'!$C$7,$D$6:$K$6,0)))</f>
        <v>-10.48799107941049</v>
      </c>
      <c r="M28" s="103">
        <f>SUM(D28:K28)</f>
        <v>4.5032524679355586</v>
      </c>
      <c r="N28" s="63"/>
    </row>
    <row r="29" spans="1:20">
      <c r="A29" s="35"/>
      <c r="B29" s="772"/>
    </row>
    <row r="30" spans="1:20">
      <c r="A30" s="35"/>
      <c r="B30" s="779" t="s">
        <v>198</v>
      </c>
      <c r="C30" s="158" t="str">
        <f>'RFPR cover'!$C$14</f>
        <v>£m 12/13</v>
      </c>
      <c r="D30" s="94">
        <f t="shared" ref="D30:K30" si="6">D28*D16</f>
        <v>0</v>
      </c>
      <c r="E30" s="95">
        <f t="shared" si="6"/>
        <v>3.5397409036692977</v>
      </c>
      <c r="F30" s="95">
        <f t="shared" si="6"/>
        <v>-7.3527647866595558</v>
      </c>
      <c r="G30" s="95">
        <f t="shared" si="6"/>
        <v>-0.47824025435841017</v>
      </c>
      <c r="H30" s="95">
        <f t="shared" si="6"/>
        <v>1.1448668135255211</v>
      </c>
      <c r="I30" s="95">
        <f t="shared" si="6"/>
        <v>0.84266392225430342</v>
      </c>
      <c r="J30" s="95">
        <f t="shared" si="6"/>
        <v>1.9340582660460002</v>
      </c>
      <c r="K30" s="95">
        <f t="shared" si="6"/>
        <v>1.7206508759035115</v>
      </c>
      <c r="L30" s="94">
        <f>SUM(D30:INDEX(D30:K30,0,MATCH('RFPR cover'!$C$7,$D$6:$K$6,0)))</f>
        <v>-3.1463973238231473</v>
      </c>
      <c r="M30" s="96">
        <f>SUM(D30:K30)</f>
        <v>1.3509757403806679</v>
      </c>
    </row>
    <row r="31" spans="1:20">
      <c r="A31" s="35"/>
      <c r="B31" s="779" t="s">
        <v>309</v>
      </c>
      <c r="C31" s="158" t="str">
        <f>'RFPR cover'!$C$14</f>
        <v>£m 12/13</v>
      </c>
      <c r="D31" s="91">
        <f t="shared" ref="D31:K31" si="7">D28*(1-D16)</f>
        <v>0</v>
      </c>
      <c r="E31" s="92">
        <f t="shared" si="7"/>
        <v>8.2593954418950268</v>
      </c>
      <c r="F31" s="92">
        <f t="shared" si="7"/>
        <v>-17.156451168872294</v>
      </c>
      <c r="G31" s="92">
        <f t="shared" si="7"/>
        <v>-1.1158939268362902</v>
      </c>
      <c r="H31" s="92">
        <f t="shared" si="7"/>
        <v>2.6713558982262153</v>
      </c>
      <c r="I31" s="92">
        <f t="shared" si="7"/>
        <v>1.9662158185933742</v>
      </c>
      <c r="J31" s="92">
        <f t="shared" si="7"/>
        <v>4.5128026207739991</v>
      </c>
      <c r="K31" s="92">
        <f t="shared" si="7"/>
        <v>4.0148520437748596</v>
      </c>
      <c r="L31" s="91">
        <f>SUM(D31:INDEX(D31:K31,0,MATCH('RFPR cover'!$C$7,$D$6:$K$6,0)))</f>
        <v>-7.3415937555873416</v>
      </c>
      <c r="M31" s="93">
        <f>SUM(D31:K31)</f>
        <v>3.1522767275548915</v>
      </c>
    </row>
    <row r="32" spans="1:20">
      <c r="A32" s="35"/>
      <c r="B32" s="772"/>
    </row>
    <row r="33" spans="1:20">
      <c r="A33" s="35"/>
      <c r="B33" s="780" t="s">
        <v>181</v>
      </c>
    </row>
    <row r="34" spans="1:20">
      <c r="A34" s="35"/>
      <c r="B34" s="772" t="s">
        <v>180</v>
      </c>
      <c r="C34" s="154" t="str">
        <f>'RFPR cover'!$C$14</f>
        <v>£m 12/13</v>
      </c>
      <c r="D34" s="94">
        <f>D18+D30</f>
        <v>-1.5804150614152321</v>
      </c>
      <c r="E34" s="95">
        <f t="shared" ref="E34:K34" si="8">E18+E30</f>
        <v>-0.60629891636604683</v>
      </c>
      <c r="F34" s="95">
        <f t="shared" si="8"/>
        <v>-9.2100683348312931</v>
      </c>
      <c r="G34" s="95">
        <f t="shared" si="8"/>
        <v>6.5890210189479506</v>
      </c>
      <c r="H34" s="95">
        <f t="shared" si="8"/>
        <v>2.5426843447821561</v>
      </c>
      <c r="I34" s="95">
        <f t="shared" si="8"/>
        <v>6.7864597991626177</v>
      </c>
      <c r="J34" s="95">
        <f t="shared" si="8"/>
        <v>3.8595734016578862</v>
      </c>
      <c r="K34" s="95">
        <f t="shared" si="8"/>
        <v>1.3004172865137502</v>
      </c>
      <c r="L34" s="94">
        <f>SUM(D34:INDEX(D34:K34,0,MATCH('RFPR cover'!$C$7,$D$6:$K$6,0)))</f>
        <v>-2.2650769488824656</v>
      </c>
      <c r="M34" s="96">
        <f>SUM(D34:K34)</f>
        <v>9.6813735384517887</v>
      </c>
    </row>
    <row r="35" spans="1:20">
      <c r="A35" s="35"/>
      <c r="B35" s="772" t="s">
        <v>280</v>
      </c>
      <c r="C35" s="154" t="str">
        <f>'RFPR cover'!$C$14</f>
        <v>£m 12/13</v>
      </c>
      <c r="D35" s="97">
        <f>D19+D31</f>
        <v>-3.6876351433022077</v>
      </c>
      <c r="E35" s="98">
        <f t="shared" ref="E35:K35" si="9">E19+E31</f>
        <v>-1.4146974715207747</v>
      </c>
      <c r="F35" s="98">
        <f t="shared" si="9"/>
        <v>-21.490159447939682</v>
      </c>
      <c r="G35" s="98">
        <f t="shared" si="9"/>
        <v>15.374382377545217</v>
      </c>
      <c r="H35" s="98">
        <f t="shared" si="9"/>
        <v>5.9329301378250303</v>
      </c>
      <c r="I35" s="98">
        <f t="shared" si="9"/>
        <v>15.835072864712773</v>
      </c>
      <c r="J35" s="98">
        <f t="shared" si="9"/>
        <v>9.0056712705350659</v>
      </c>
      <c r="K35" s="98">
        <f t="shared" si="9"/>
        <v>3.0343070018654168</v>
      </c>
      <c r="L35" s="97">
        <f>SUM(D35:INDEX(D35:K35,0,MATCH('RFPR cover'!$C$7,$D$6:$K$6,0)))</f>
        <v>-5.2851795473924188</v>
      </c>
      <c r="M35" s="99">
        <f>SUM(D35:K35)</f>
        <v>22.58987158972084</v>
      </c>
    </row>
    <row r="36" spans="1:20">
      <c r="A36" s="35"/>
      <c r="B36" s="780" t="s">
        <v>11</v>
      </c>
      <c r="C36" s="155" t="str">
        <f>'RFPR cover'!$C$14</f>
        <v>£m 12/13</v>
      </c>
      <c r="D36" s="138">
        <f>SUM(D34:D35)</f>
        <v>-5.26805020471744</v>
      </c>
      <c r="E36" s="139">
        <f t="shared" ref="E36:K36" si="10">SUM(E34:E35)</f>
        <v>-2.0209963878868216</v>
      </c>
      <c r="F36" s="139">
        <f t="shared" si="10"/>
        <v>-30.700227782770973</v>
      </c>
      <c r="G36" s="139">
        <f t="shared" si="10"/>
        <v>21.963403396493167</v>
      </c>
      <c r="H36" s="139">
        <f t="shared" si="10"/>
        <v>8.4756144826071864</v>
      </c>
      <c r="I36" s="139">
        <f t="shared" si="10"/>
        <v>22.621532663875392</v>
      </c>
      <c r="J36" s="139">
        <f t="shared" si="10"/>
        <v>12.865244672192953</v>
      </c>
      <c r="K36" s="139">
        <f t="shared" si="10"/>
        <v>4.3347242883791672</v>
      </c>
      <c r="L36" s="138">
        <f>SUM(D36:INDEX(D36:K36,0,MATCH('RFPR cover'!$C$7,$D$6:$K$6,0)))</f>
        <v>-7.5502564962748782</v>
      </c>
      <c r="M36" s="140">
        <f>SUM(D36:K36)</f>
        <v>32.271245128172637</v>
      </c>
    </row>
    <row r="37" spans="1:20">
      <c r="A37" s="35"/>
      <c r="B37" s="772"/>
    </row>
    <row r="38" spans="1:20">
      <c r="A38" s="35"/>
      <c r="B38" s="775" t="str">
        <f>Data!B51</f>
        <v>n/a</v>
      </c>
      <c r="C38" s="149"/>
      <c r="D38" s="82"/>
      <c r="E38" s="82"/>
      <c r="F38" s="82"/>
      <c r="G38" s="82"/>
      <c r="H38" s="82"/>
      <c r="I38" s="82"/>
      <c r="J38" s="82"/>
      <c r="K38" s="82"/>
      <c r="L38" s="82"/>
      <c r="M38" s="82"/>
      <c r="N38" s="82"/>
    </row>
    <row r="39" spans="1:20" s="35" customFormat="1">
      <c r="B39" s="773"/>
      <c r="C39" s="137"/>
      <c r="D39" s="319"/>
      <c r="E39" s="319"/>
      <c r="F39" s="319"/>
      <c r="G39" s="319"/>
      <c r="H39" s="319"/>
      <c r="I39" s="319"/>
      <c r="J39" s="319"/>
      <c r="K39" s="319"/>
      <c r="L39" s="319"/>
      <c r="M39" s="319"/>
      <c r="N39" s="319"/>
    </row>
    <row r="40" spans="1:20">
      <c r="A40" s="35"/>
      <c r="B40" s="304" t="s">
        <v>34</v>
      </c>
      <c r="C40" s="154" t="str">
        <f>'RFPR cover'!$C$14</f>
        <v>£m 12/13</v>
      </c>
      <c r="D40" s="648"/>
      <c r="E40" s="649"/>
      <c r="F40" s="649"/>
      <c r="G40" s="649"/>
      <c r="H40" s="649"/>
      <c r="I40" s="649"/>
      <c r="J40" s="649"/>
      <c r="K40" s="649"/>
      <c r="L40" s="650">
        <f>SUM(D40:INDEX(D40:K40,0,MATCH('RFPR cover'!$C$7,$D$6:$K$6,0)))</f>
        <v>0</v>
      </c>
      <c r="M40" s="651">
        <f>SUM(D40:K40)</f>
        <v>0</v>
      </c>
      <c r="N40" s="351"/>
      <c r="O40" s="63"/>
    </row>
    <row r="41" spans="1:20" ht="25.2">
      <c r="A41" s="35"/>
      <c r="B41" s="777" t="s">
        <v>502</v>
      </c>
      <c r="C41" s="154" t="str">
        <f>'RFPR cover'!$C$14</f>
        <v>£m 12/13</v>
      </c>
      <c r="D41" s="652"/>
      <c r="E41" s="653"/>
      <c r="F41" s="653"/>
      <c r="G41" s="653"/>
      <c r="H41" s="653"/>
      <c r="I41" s="653"/>
      <c r="J41" s="653"/>
      <c r="K41" s="653"/>
      <c r="L41" s="654">
        <f>SUM(D41:INDEX(D41:K41,0,MATCH('RFPR cover'!$C$7,$D$6:$K$6,0)))</f>
        <v>0</v>
      </c>
      <c r="M41" s="655">
        <f>SUM(D41:K41)</f>
        <v>0</v>
      </c>
      <c r="N41" s="351"/>
      <c r="O41" s="63"/>
    </row>
    <row r="42" spans="1:20">
      <c r="A42" s="35"/>
      <c r="B42" s="778" t="s">
        <v>195</v>
      </c>
      <c r="C42" s="154" t="str">
        <f>'RFPR cover'!$C$14</f>
        <v>£m 12/13</v>
      </c>
      <c r="D42" s="101">
        <f>D41-D40</f>
        <v>0</v>
      </c>
      <c r="E42" s="102">
        <f t="shared" ref="E42:M42" si="11">E41-E40</f>
        <v>0</v>
      </c>
      <c r="F42" s="102">
        <f t="shared" si="11"/>
        <v>0</v>
      </c>
      <c r="G42" s="102">
        <f t="shared" si="11"/>
        <v>0</v>
      </c>
      <c r="H42" s="102">
        <f t="shared" si="11"/>
        <v>0</v>
      </c>
      <c r="I42" s="102">
        <f t="shared" si="11"/>
        <v>0</v>
      </c>
      <c r="J42" s="102">
        <f t="shared" si="11"/>
        <v>0</v>
      </c>
      <c r="K42" s="102">
        <f t="shared" si="11"/>
        <v>0</v>
      </c>
      <c r="L42" s="354">
        <f t="shared" si="11"/>
        <v>0</v>
      </c>
      <c r="M42" s="355">
        <f t="shared" si="11"/>
        <v>0</v>
      </c>
      <c r="N42" s="352"/>
      <c r="O42" s="1014"/>
      <c r="P42" s="1014"/>
      <c r="Q42" s="1014"/>
      <c r="R42"/>
      <c r="S42"/>
      <c r="T42"/>
    </row>
    <row r="43" spans="1:20" ht="13.2">
      <c r="A43" s="35"/>
      <c r="B43" s="778"/>
      <c r="C43" s="154"/>
      <c r="D43" s="59"/>
      <c r="E43" s="59"/>
      <c r="F43" s="59"/>
      <c r="G43" s="59"/>
      <c r="H43" s="59"/>
      <c r="I43" s="59"/>
      <c r="J43" s="59"/>
      <c r="K43" s="59"/>
      <c r="L43" s="59"/>
      <c r="M43" s="59"/>
      <c r="N43" s="348"/>
      <c r="O43" s="64"/>
      <c r="P43" s="64"/>
      <c r="Q43" s="64"/>
      <c r="R43"/>
      <c r="S43"/>
      <c r="T43"/>
    </row>
    <row r="44" spans="1:20">
      <c r="A44" s="35"/>
      <c r="B44" s="772" t="s">
        <v>178</v>
      </c>
      <c r="C44" s="135" t="s">
        <v>7</v>
      </c>
      <c r="D44" s="108">
        <f>1-INDEX(Data!$D$73:$D$100,MATCH('RFPR cover'!$C$5,Data!$B$73:$B$100,0),0)</f>
        <v>0.30000000000000004</v>
      </c>
      <c r="E44" s="109">
        <f>1-INDEX(Data!$D$73:$D$100,MATCH('RFPR cover'!$C$5,Data!$B$73:$B$100,0),0)</f>
        <v>0.30000000000000004</v>
      </c>
      <c r="F44" s="109">
        <f>1-INDEX(Data!$D$73:$D$100,MATCH('RFPR cover'!$C$5,Data!$B$73:$B$100,0),0)</f>
        <v>0.30000000000000004</v>
      </c>
      <c r="G44" s="109">
        <f>1-INDEX(Data!$D$73:$D$100,MATCH('RFPR cover'!$C$5,Data!$B$73:$B$100,0),0)</f>
        <v>0.30000000000000004</v>
      </c>
      <c r="H44" s="109">
        <f>1-INDEX(Data!$D$73:$D$100,MATCH('RFPR cover'!$C$5,Data!$B$73:$B$100,0),0)</f>
        <v>0.30000000000000004</v>
      </c>
      <c r="I44" s="109">
        <f>1-INDEX(Data!$D$73:$D$100,MATCH('RFPR cover'!$C$5,Data!$B$73:$B$100,0),0)</f>
        <v>0.30000000000000004</v>
      </c>
      <c r="J44" s="109">
        <f>1-INDEX(Data!$D$73:$D$100,MATCH('RFPR cover'!$C$5,Data!$B$73:$B$100,0),0)</f>
        <v>0.30000000000000004</v>
      </c>
      <c r="K44" s="110">
        <f>1-INDEX(Data!$D$73:$D$100,MATCH('RFPR cover'!$C$5,Data!$B$73:$B$100,0),0)</f>
        <v>0.30000000000000004</v>
      </c>
      <c r="L44" s="62"/>
      <c r="M44" s="62"/>
      <c r="N44" s="349"/>
      <c r="O44"/>
      <c r="P44"/>
      <c r="Q44"/>
      <c r="R44"/>
      <c r="S44"/>
      <c r="T44"/>
    </row>
    <row r="45" spans="1:20">
      <c r="A45" s="35"/>
      <c r="B45" s="772"/>
      <c r="N45" s="350"/>
      <c r="O45"/>
      <c r="P45"/>
      <c r="Q45"/>
      <c r="R45"/>
      <c r="S45"/>
      <c r="T45"/>
    </row>
    <row r="46" spans="1:20">
      <c r="A46" s="35"/>
      <c r="B46" s="779" t="s">
        <v>183</v>
      </c>
      <c r="C46" s="158" t="str">
        <f>'RFPR cover'!$C$14</f>
        <v>£m 12/13</v>
      </c>
      <c r="D46" s="94">
        <f>D42*D44</f>
        <v>0</v>
      </c>
      <c r="E46" s="95">
        <f t="shared" ref="E46:K46" si="12">E42*E44</f>
        <v>0</v>
      </c>
      <c r="F46" s="95">
        <f t="shared" si="12"/>
        <v>0</v>
      </c>
      <c r="G46" s="95">
        <f t="shared" si="12"/>
        <v>0</v>
      </c>
      <c r="H46" s="95">
        <f t="shared" si="12"/>
        <v>0</v>
      </c>
      <c r="I46" s="95">
        <f t="shared" si="12"/>
        <v>0</v>
      </c>
      <c r="J46" s="95">
        <f t="shared" si="12"/>
        <v>0</v>
      </c>
      <c r="K46" s="95">
        <f t="shared" si="12"/>
        <v>0</v>
      </c>
      <c r="L46" s="356">
        <f>SUM(D46:INDEX(D46:K46,0,MATCH('RFPR cover'!$C$7,$D$6:$K$6,0)))</f>
        <v>0</v>
      </c>
      <c r="M46" s="575">
        <f>SUM(D46:K46)</f>
        <v>0</v>
      </c>
      <c r="N46" s="352"/>
      <c r="O46"/>
      <c r="P46"/>
      <c r="Q46"/>
      <c r="R46"/>
      <c r="S46"/>
      <c r="T46"/>
    </row>
    <row r="47" spans="1:20">
      <c r="A47" s="35"/>
      <c r="B47" s="779" t="s">
        <v>280</v>
      </c>
      <c r="C47" s="158" t="str">
        <f>'RFPR cover'!$C$14</f>
        <v>£m 12/13</v>
      </c>
      <c r="D47" s="577">
        <f>D42*(1-D44)</f>
        <v>0</v>
      </c>
      <c r="E47" s="578">
        <f t="shared" ref="E47:K47" si="13">E42*(1-E44)</f>
        <v>0</v>
      </c>
      <c r="F47" s="578">
        <f t="shared" si="13"/>
        <v>0</v>
      </c>
      <c r="G47" s="578">
        <f t="shared" si="13"/>
        <v>0</v>
      </c>
      <c r="H47" s="578">
        <f t="shared" si="13"/>
        <v>0</v>
      </c>
      <c r="I47" s="578">
        <f t="shared" si="13"/>
        <v>0</v>
      </c>
      <c r="J47" s="578">
        <f t="shared" si="13"/>
        <v>0</v>
      </c>
      <c r="K47" s="578">
        <f t="shared" si="13"/>
        <v>0</v>
      </c>
      <c r="L47" s="579">
        <f>SUM(D47:INDEX(D47:K47,0,MATCH('RFPR cover'!$C$7,$D$6:$K$6,0)))</f>
        <v>0</v>
      </c>
      <c r="M47" s="580">
        <f>SUM(D47:K47)</f>
        <v>0</v>
      </c>
      <c r="N47" s="352"/>
      <c r="O47"/>
      <c r="P47"/>
      <c r="Q47"/>
      <c r="R47"/>
      <c r="S47"/>
      <c r="T47"/>
    </row>
    <row r="48" spans="1:20">
      <c r="A48" s="35"/>
      <c r="B48" s="772"/>
      <c r="N48" s="350"/>
      <c r="O48"/>
      <c r="P48"/>
      <c r="Q48"/>
      <c r="R48"/>
      <c r="S48"/>
      <c r="T48"/>
    </row>
    <row r="49" spans="1:20">
      <c r="A49" s="35"/>
      <c r="B49" s="780" t="s">
        <v>182</v>
      </c>
      <c r="N49" s="350"/>
      <c r="O49"/>
      <c r="P49"/>
      <c r="Q49"/>
      <c r="R49"/>
      <c r="S49"/>
      <c r="T49"/>
    </row>
    <row r="50" spans="1:20">
      <c r="A50" s="268" t="s">
        <v>151</v>
      </c>
      <c r="B50" s="770" t="s">
        <v>242</v>
      </c>
      <c r="C50" s="154" t="str">
        <f>'RFPR cover'!$C$14</f>
        <v>£m 12/13</v>
      </c>
      <c r="D50" s="581"/>
      <c r="E50" s="582"/>
      <c r="F50" s="582"/>
      <c r="G50" s="582"/>
      <c r="H50" s="582"/>
      <c r="I50" s="582"/>
      <c r="J50" s="582"/>
      <c r="K50" s="582"/>
      <c r="L50" s="656">
        <f>SUM(D50:INDEX(D50:K50,0,MATCH('RFPR cover'!$C$7,$D$6:$K$6,0)))</f>
        <v>0</v>
      </c>
      <c r="M50" s="657">
        <f t="shared" ref="M50:M56" si="14">SUM(D50:K50)</f>
        <v>0</v>
      </c>
      <c r="N50" s="572"/>
      <c r="O50"/>
      <c r="P50"/>
      <c r="Q50"/>
      <c r="R50"/>
      <c r="S50"/>
      <c r="T50"/>
    </row>
    <row r="51" spans="1:20">
      <c r="A51" s="268" t="s">
        <v>152</v>
      </c>
      <c r="B51" s="770" t="s">
        <v>242</v>
      </c>
      <c r="C51" s="154" t="str">
        <f>'RFPR cover'!$C$14</f>
        <v>£m 12/13</v>
      </c>
      <c r="D51" s="585"/>
      <c r="E51" s="586"/>
      <c r="F51" s="586"/>
      <c r="G51" s="586"/>
      <c r="H51" s="586"/>
      <c r="I51" s="586"/>
      <c r="J51" s="586"/>
      <c r="K51" s="586"/>
      <c r="L51" s="658">
        <f>SUM(D51:INDEX(D51:K51,0,MATCH('RFPR cover'!$C$7,$D$6:$K$6,0)))</f>
        <v>0</v>
      </c>
      <c r="M51" s="659">
        <f t="shared" si="14"/>
        <v>0</v>
      </c>
      <c r="N51" s="573"/>
      <c r="O51"/>
      <c r="P51"/>
      <c r="Q51"/>
      <c r="R51"/>
      <c r="S51"/>
      <c r="T51"/>
    </row>
    <row r="52" spans="1:20">
      <c r="A52" s="268" t="s">
        <v>153</v>
      </c>
      <c r="B52" s="770" t="s">
        <v>242</v>
      </c>
      <c r="C52" s="154" t="str">
        <f>'RFPR cover'!$C$14</f>
        <v>£m 12/13</v>
      </c>
      <c r="D52" s="585"/>
      <c r="E52" s="586"/>
      <c r="F52" s="586"/>
      <c r="G52" s="586"/>
      <c r="H52" s="586"/>
      <c r="I52" s="586"/>
      <c r="J52" s="586"/>
      <c r="K52" s="586"/>
      <c r="L52" s="658">
        <f>SUM(D52:INDEX(D52:K52,0,MATCH('RFPR cover'!$C$7,$D$6:$K$6,0)))</f>
        <v>0</v>
      </c>
      <c r="M52" s="659">
        <f t="shared" si="14"/>
        <v>0</v>
      </c>
      <c r="N52" s="573"/>
      <c r="O52"/>
      <c r="P52"/>
      <c r="Q52"/>
      <c r="R52"/>
      <c r="S52" s="65"/>
      <c r="T52"/>
    </row>
    <row r="53" spans="1:20">
      <c r="A53" s="268" t="s">
        <v>168</v>
      </c>
      <c r="B53" s="770" t="s">
        <v>242</v>
      </c>
      <c r="C53" s="154" t="str">
        <f>'RFPR cover'!$C$14</f>
        <v>£m 12/13</v>
      </c>
      <c r="D53" s="585"/>
      <c r="E53" s="586"/>
      <c r="F53" s="586"/>
      <c r="G53" s="586"/>
      <c r="H53" s="586"/>
      <c r="I53" s="586"/>
      <c r="J53" s="586"/>
      <c r="K53" s="586"/>
      <c r="L53" s="658">
        <f>SUM(D53:INDEX(D53:K53,0,MATCH('RFPR cover'!$C$7,$D$6:$K$6,0)))</f>
        <v>0</v>
      </c>
      <c r="M53" s="659">
        <f t="shared" si="14"/>
        <v>0</v>
      </c>
      <c r="N53" s="573"/>
      <c r="O53"/>
      <c r="P53"/>
      <c r="Q53"/>
      <c r="R53"/>
      <c r="S53"/>
      <c r="T53"/>
    </row>
    <row r="54" spans="1:20">
      <c r="A54" s="268" t="s">
        <v>169</v>
      </c>
      <c r="B54" s="770" t="s">
        <v>242</v>
      </c>
      <c r="C54" s="154" t="str">
        <f>'RFPR cover'!$C$14</f>
        <v>£m 12/13</v>
      </c>
      <c r="D54" s="585"/>
      <c r="E54" s="586"/>
      <c r="F54" s="586"/>
      <c r="G54" s="586"/>
      <c r="H54" s="586"/>
      <c r="I54" s="586"/>
      <c r="J54" s="586"/>
      <c r="K54" s="586"/>
      <c r="L54" s="658">
        <f>SUM(D54:INDEX(D54:K54,0,MATCH('RFPR cover'!$C$7,$D$6:$K$6,0)))</f>
        <v>0</v>
      </c>
      <c r="M54" s="659">
        <f t="shared" si="14"/>
        <v>0</v>
      </c>
      <c r="N54" s="573"/>
      <c r="O54"/>
      <c r="P54"/>
      <c r="Q54"/>
      <c r="R54"/>
      <c r="S54"/>
      <c r="T54"/>
    </row>
    <row r="55" spans="1:20">
      <c r="A55" s="268" t="s">
        <v>170</v>
      </c>
      <c r="B55" s="770" t="s">
        <v>242</v>
      </c>
      <c r="C55" s="154" t="str">
        <f>'RFPR cover'!$C$14</f>
        <v>£m 12/13</v>
      </c>
      <c r="D55" s="589"/>
      <c r="E55" s="590"/>
      <c r="F55" s="590"/>
      <c r="G55" s="590"/>
      <c r="H55" s="590"/>
      <c r="I55" s="590"/>
      <c r="J55" s="590"/>
      <c r="K55" s="590"/>
      <c r="L55" s="660">
        <f>SUM(D55:INDEX(D55:K55,0,MATCH('RFPR cover'!$C$7,$D$6:$K$6,0)))</f>
        <v>0</v>
      </c>
      <c r="M55" s="661">
        <f t="shared" si="14"/>
        <v>0</v>
      </c>
      <c r="N55" s="574"/>
      <c r="O55"/>
      <c r="P55"/>
      <c r="Q55"/>
      <c r="R55"/>
      <c r="S55"/>
      <c r="T55"/>
    </row>
    <row r="56" spans="1:20">
      <c r="A56" s="35"/>
      <c r="B56" s="780" t="s">
        <v>190</v>
      </c>
      <c r="C56" s="154" t="str">
        <f>'RFPR cover'!$C$14</f>
        <v>£m 12/13</v>
      </c>
      <c r="D56" s="101">
        <f>SUM(D50:D55)</f>
        <v>0</v>
      </c>
      <c r="E56" s="102">
        <f t="shared" ref="E56:K56" si="15">SUM(E50:E55)</f>
        <v>0</v>
      </c>
      <c r="F56" s="102">
        <f t="shared" si="15"/>
        <v>0</v>
      </c>
      <c r="G56" s="102">
        <f t="shared" si="15"/>
        <v>0</v>
      </c>
      <c r="H56" s="102">
        <f t="shared" si="15"/>
        <v>0</v>
      </c>
      <c r="I56" s="102">
        <f t="shared" si="15"/>
        <v>0</v>
      </c>
      <c r="J56" s="102">
        <f t="shared" si="15"/>
        <v>0</v>
      </c>
      <c r="K56" s="102">
        <f t="shared" si="15"/>
        <v>0</v>
      </c>
      <c r="L56" s="354">
        <f>SUM(D56:INDEX(D56:K56,0,MATCH('RFPR cover'!$C$7,$D$6:$K$6,0)))</f>
        <v>0</v>
      </c>
      <c r="M56" s="355">
        <f t="shared" si="14"/>
        <v>0</v>
      </c>
      <c r="N56" s="352"/>
    </row>
    <row r="57" spans="1:20">
      <c r="A57" s="35"/>
      <c r="B57" s="772"/>
      <c r="N57" s="350"/>
    </row>
    <row r="58" spans="1:20">
      <c r="A58" s="35"/>
      <c r="B58" s="779" t="s">
        <v>198</v>
      </c>
      <c r="C58" s="158" t="str">
        <f>'RFPR cover'!$C$14</f>
        <v>£m 12/13</v>
      </c>
      <c r="D58" s="94">
        <f t="shared" ref="D58:K58" si="16">D56*D44</f>
        <v>0</v>
      </c>
      <c r="E58" s="95">
        <f t="shared" si="16"/>
        <v>0</v>
      </c>
      <c r="F58" s="95">
        <f t="shared" si="16"/>
        <v>0</v>
      </c>
      <c r="G58" s="95">
        <f t="shared" si="16"/>
        <v>0</v>
      </c>
      <c r="H58" s="95">
        <f t="shared" si="16"/>
        <v>0</v>
      </c>
      <c r="I58" s="95">
        <f t="shared" si="16"/>
        <v>0</v>
      </c>
      <c r="J58" s="95">
        <f t="shared" si="16"/>
        <v>0</v>
      </c>
      <c r="K58" s="95">
        <f t="shared" si="16"/>
        <v>0</v>
      </c>
      <c r="L58" s="356">
        <f>SUM(D58:INDEX(D58:K58,0,MATCH('RFPR cover'!$C$7,$D$6:$K$6,0)))</f>
        <v>0</v>
      </c>
      <c r="M58" s="575">
        <f>SUM(D58:K58)</f>
        <v>0</v>
      </c>
      <c r="N58" s="352"/>
    </row>
    <row r="59" spans="1:20">
      <c r="A59" s="35"/>
      <c r="B59" s="779" t="s">
        <v>309</v>
      </c>
      <c r="C59" s="158" t="str">
        <f>'RFPR cover'!$C$14</f>
        <v>£m 12/13</v>
      </c>
      <c r="D59" s="91">
        <f t="shared" ref="D59:K59" si="17">D56*(1-D44)</f>
        <v>0</v>
      </c>
      <c r="E59" s="92">
        <f t="shared" si="17"/>
        <v>0</v>
      </c>
      <c r="F59" s="92">
        <f t="shared" si="17"/>
        <v>0</v>
      </c>
      <c r="G59" s="92">
        <f t="shared" si="17"/>
        <v>0</v>
      </c>
      <c r="H59" s="92">
        <f t="shared" si="17"/>
        <v>0</v>
      </c>
      <c r="I59" s="92">
        <f t="shared" si="17"/>
        <v>0</v>
      </c>
      <c r="J59" s="92">
        <f t="shared" si="17"/>
        <v>0</v>
      </c>
      <c r="K59" s="92">
        <f t="shared" si="17"/>
        <v>0</v>
      </c>
      <c r="L59" s="357">
        <f>SUM(D59:INDEX(D59:K59,0,MATCH('RFPR cover'!$C$7,$D$6:$K$6,0)))</f>
        <v>0</v>
      </c>
      <c r="M59" s="576">
        <f>SUM(D59:K59)</f>
        <v>0</v>
      </c>
      <c r="N59" s="352"/>
    </row>
    <row r="60" spans="1:20">
      <c r="A60" s="35"/>
      <c r="B60" s="772"/>
      <c r="N60" s="350"/>
    </row>
    <row r="61" spans="1:20">
      <c r="A61" s="35"/>
      <c r="B61" s="780" t="s">
        <v>181</v>
      </c>
      <c r="N61" s="350"/>
    </row>
    <row r="62" spans="1:20">
      <c r="A62" s="35"/>
      <c r="B62" s="772" t="s">
        <v>180</v>
      </c>
      <c r="C62" s="154" t="str">
        <f>'RFPR cover'!$C$14</f>
        <v>£m 12/13</v>
      </c>
      <c r="D62" s="94">
        <f>D46+D58</f>
        <v>0</v>
      </c>
      <c r="E62" s="95">
        <f t="shared" ref="E62:K62" si="18">E46+E58</f>
        <v>0</v>
      </c>
      <c r="F62" s="95">
        <f t="shared" si="18"/>
        <v>0</v>
      </c>
      <c r="G62" s="95">
        <f t="shared" si="18"/>
        <v>0</v>
      </c>
      <c r="H62" s="95">
        <f t="shared" si="18"/>
        <v>0</v>
      </c>
      <c r="I62" s="95">
        <f t="shared" si="18"/>
        <v>0</v>
      </c>
      <c r="J62" s="95">
        <f t="shared" si="18"/>
        <v>0</v>
      </c>
      <c r="K62" s="95">
        <f t="shared" si="18"/>
        <v>0</v>
      </c>
      <c r="L62" s="356">
        <f>SUM(D62:INDEX(D62:K62,0,MATCH('RFPR cover'!$C$7,$D$6:$K$6,0)))</f>
        <v>0</v>
      </c>
      <c r="M62" s="575">
        <f>SUM(D62:K62)</f>
        <v>0</v>
      </c>
      <c r="N62" s="352"/>
    </row>
    <row r="63" spans="1:20">
      <c r="A63" s="35"/>
      <c r="B63" s="772" t="s">
        <v>280</v>
      </c>
      <c r="C63" s="154" t="str">
        <f>'RFPR cover'!$C$14</f>
        <v>£m 12/13</v>
      </c>
      <c r="D63" s="97">
        <f>D47+D59</f>
        <v>0</v>
      </c>
      <c r="E63" s="98">
        <f t="shared" ref="E63:K63" si="19">E47+E59</f>
        <v>0</v>
      </c>
      <c r="F63" s="98">
        <f t="shared" si="19"/>
        <v>0</v>
      </c>
      <c r="G63" s="98">
        <f t="shared" si="19"/>
        <v>0</v>
      </c>
      <c r="H63" s="98">
        <f t="shared" si="19"/>
        <v>0</v>
      </c>
      <c r="I63" s="98">
        <f t="shared" si="19"/>
        <v>0</v>
      </c>
      <c r="J63" s="98">
        <f t="shared" si="19"/>
        <v>0</v>
      </c>
      <c r="K63" s="98">
        <f t="shared" si="19"/>
        <v>0</v>
      </c>
      <c r="L63" s="358">
        <f>SUM(D63:INDEX(D63:K63,0,MATCH('RFPR cover'!$C$7,$D$6:$K$6,0)))</f>
        <v>0</v>
      </c>
      <c r="M63" s="576">
        <f>SUM(D63:K63)</f>
        <v>0</v>
      </c>
      <c r="N63" s="352"/>
    </row>
    <row r="64" spans="1:20">
      <c r="A64" s="35"/>
      <c r="B64" s="780" t="s">
        <v>11</v>
      </c>
      <c r="C64" s="155" t="str">
        <f>'RFPR cover'!$C$14</f>
        <v>£m 12/13</v>
      </c>
      <c r="D64" s="138">
        <f>SUM(D62:D63)</f>
        <v>0</v>
      </c>
      <c r="E64" s="139">
        <f t="shared" ref="E64:K64" si="20">SUM(E62:E63)</f>
        <v>0</v>
      </c>
      <c r="F64" s="139">
        <f t="shared" si="20"/>
        <v>0</v>
      </c>
      <c r="G64" s="139">
        <f t="shared" si="20"/>
        <v>0</v>
      </c>
      <c r="H64" s="139">
        <f t="shared" si="20"/>
        <v>0</v>
      </c>
      <c r="I64" s="139">
        <f t="shared" si="20"/>
        <v>0</v>
      </c>
      <c r="J64" s="139">
        <f t="shared" si="20"/>
        <v>0</v>
      </c>
      <c r="K64" s="139">
        <f t="shared" si="20"/>
        <v>0</v>
      </c>
      <c r="L64" s="359">
        <f>SUM(D64:INDEX(D64:K64,0,MATCH('RFPR cover'!$C$7,$D$6:$K$6,0)))</f>
        <v>0</v>
      </c>
      <c r="M64" s="360">
        <f>SUM(D64:K64)</f>
        <v>0</v>
      </c>
      <c r="N64" s="353"/>
    </row>
    <row r="65" spans="1:20">
      <c r="A65" s="35"/>
      <c r="B65" s="780"/>
      <c r="C65" s="155"/>
      <c r="D65" s="155"/>
      <c r="E65" s="155"/>
      <c r="F65" s="155"/>
      <c r="G65" s="155"/>
      <c r="H65" s="155"/>
      <c r="I65" s="155"/>
      <c r="J65" s="155"/>
      <c r="K65" s="155"/>
      <c r="L65" s="155"/>
      <c r="M65" s="155"/>
    </row>
    <row r="66" spans="1:20">
      <c r="A66" s="35"/>
      <c r="B66" s="775" t="s">
        <v>257</v>
      </c>
      <c r="C66" s="149"/>
      <c r="D66" s="82"/>
      <c r="E66" s="82"/>
      <c r="F66" s="82"/>
      <c r="G66" s="82"/>
      <c r="H66" s="82"/>
      <c r="I66" s="82"/>
      <c r="J66" s="82"/>
      <c r="K66" s="82"/>
      <c r="L66" s="82"/>
      <c r="M66" s="82"/>
      <c r="N66" s="82"/>
    </row>
    <row r="67" spans="1:20">
      <c r="A67" s="35"/>
      <c r="B67" s="772"/>
      <c r="O67"/>
      <c r="P67"/>
      <c r="Q67"/>
      <c r="R67"/>
      <c r="S67"/>
      <c r="T67"/>
    </row>
    <row r="68" spans="1:20">
      <c r="A68" s="35"/>
      <c r="B68" s="780" t="s">
        <v>181</v>
      </c>
    </row>
    <row r="69" spans="1:20">
      <c r="A69" s="35"/>
      <c r="B69" s="772" t="s">
        <v>180</v>
      </c>
      <c r="C69" s="154" t="str">
        <f>'RFPR cover'!$C$14</f>
        <v>£m 12/13</v>
      </c>
      <c r="D69" s="94">
        <f>D34+D62</f>
        <v>-1.5804150614152321</v>
      </c>
      <c r="E69" s="95">
        <f t="shared" ref="E69:K69" si="21">E34+E62</f>
        <v>-0.60629891636604683</v>
      </c>
      <c r="F69" s="95">
        <f t="shared" si="21"/>
        <v>-9.2100683348312931</v>
      </c>
      <c r="G69" s="95">
        <f t="shared" si="21"/>
        <v>6.5890210189479506</v>
      </c>
      <c r="H69" s="95">
        <f t="shared" si="21"/>
        <v>2.5426843447821561</v>
      </c>
      <c r="I69" s="95">
        <f t="shared" si="21"/>
        <v>6.7864597991626177</v>
      </c>
      <c r="J69" s="95">
        <f t="shared" si="21"/>
        <v>3.8595734016578862</v>
      </c>
      <c r="K69" s="95">
        <f t="shared" si="21"/>
        <v>1.3004172865137502</v>
      </c>
      <c r="L69" s="94">
        <f>SUM(D69:INDEX(D69:K69,0,MATCH('RFPR cover'!$C$7,$D$6:$K$6,0)))</f>
        <v>-2.2650769488824656</v>
      </c>
      <c r="M69" s="96">
        <f>SUM(D69:K69)</f>
        <v>9.6813735384517887</v>
      </c>
    </row>
    <row r="70" spans="1:20">
      <c r="A70" s="35"/>
      <c r="B70" s="772" t="s">
        <v>280</v>
      </c>
      <c r="C70" s="154" t="str">
        <f>'RFPR cover'!$C$14</f>
        <v>£m 12/13</v>
      </c>
      <c r="D70" s="520">
        <f t="shared" ref="D70:K70" si="22">D35+D63</f>
        <v>-3.6876351433022077</v>
      </c>
      <c r="E70" s="521">
        <f t="shared" si="22"/>
        <v>-1.4146974715207747</v>
      </c>
      <c r="F70" s="521">
        <f t="shared" si="22"/>
        <v>-21.490159447939682</v>
      </c>
      <c r="G70" s="521">
        <f t="shared" si="22"/>
        <v>15.374382377545217</v>
      </c>
      <c r="H70" s="521">
        <f t="shared" si="22"/>
        <v>5.9329301378250303</v>
      </c>
      <c r="I70" s="521">
        <f t="shared" si="22"/>
        <v>15.835072864712773</v>
      </c>
      <c r="J70" s="521">
        <f t="shared" si="22"/>
        <v>9.0056712705350659</v>
      </c>
      <c r="K70" s="521">
        <f t="shared" si="22"/>
        <v>3.0343070018654168</v>
      </c>
      <c r="L70" s="520">
        <f>SUM(D70:INDEX(D70:K70,0,MATCH('RFPR cover'!$C$7,$D$6:$K$6,0)))</f>
        <v>-5.2851795473924188</v>
      </c>
      <c r="M70" s="522">
        <f>SUM(D70:K70)</f>
        <v>22.58987158972084</v>
      </c>
    </row>
    <row r="71" spans="1:20">
      <c r="A71" s="35"/>
      <c r="B71" s="780" t="s">
        <v>11</v>
      </c>
      <c r="C71" s="155" t="str">
        <f>'RFPR cover'!$C$14</f>
        <v>£m 12/13</v>
      </c>
      <c r="D71" s="144">
        <f>SUM(D69:D70)</f>
        <v>-5.26805020471744</v>
      </c>
      <c r="E71" s="145">
        <f t="shared" ref="E71:K71" si="23">SUM(E69:E70)</f>
        <v>-2.0209963878868216</v>
      </c>
      <c r="F71" s="145">
        <f t="shared" si="23"/>
        <v>-30.700227782770973</v>
      </c>
      <c r="G71" s="145">
        <f t="shared" si="23"/>
        <v>21.963403396493167</v>
      </c>
      <c r="H71" s="145">
        <f t="shared" si="23"/>
        <v>8.4756144826071864</v>
      </c>
      <c r="I71" s="145">
        <f t="shared" si="23"/>
        <v>22.621532663875392</v>
      </c>
      <c r="J71" s="145">
        <f t="shared" si="23"/>
        <v>12.865244672192953</v>
      </c>
      <c r="K71" s="145">
        <f t="shared" si="23"/>
        <v>4.3347242883791672</v>
      </c>
      <c r="L71" s="144">
        <f>SUM(D71:INDEX(D71:K71,0,MATCH('RFPR cover'!$C$7,$D$6:$K$6,0)))</f>
        <v>-7.5502564962748782</v>
      </c>
      <c r="M71" s="146">
        <f>SUM(D71:K71)</f>
        <v>32.271245128172637</v>
      </c>
    </row>
    <row r="72" spans="1:20">
      <c r="A72" s="35"/>
      <c r="B72" s="780"/>
      <c r="C72" s="155"/>
      <c r="D72" s="155"/>
      <c r="E72" s="155"/>
      <c r="F72" s="155"/>
      <c r="G72" s="155"/>
      <c r="H72" s="155"/>
      <c r="I72" s="155"/>
      <c r="J72" s="155"/>
      <c r="K72" s="155"/>
      <c r="L72" s="155"/>
      <c r="M72" s="155"/>
    </row>
    <row r="73" spans="1:20">
      <c r="A73" s="35"/>
      <c r="B73" s="772"/>
    </row>
    <row r="74" spans="1:20">
      <c r="A74" s="35"/>
      <c r="B74" s="775" t="s">
        <v>214</v>
      </c>
      <c r="C74" s="149"/>
      <c r="D74" s="81"/>
      <c r="E74" s="81"/>
      <c r="F74" s="81"/>
      <c r="G74" s="81"/>
      <c r="H74" s="81"/>
      <c r="I74" s="81"/>
      <c r="J74" s="81"/>
      <c r="K74" s="81"/>
      <c r="L74" s="81"/>
      <c r="M74" s="81"/>
      <c r="N74" s="81"/>
    </row>
    <row r="75" spans="1:20">
      <c r="A75" s="35"/>
      <c r="B75" s="367" t="s">
        <v>213</v>
      </c>
      <c r="C75" s="366"/>
      <c r="D75" s="366"/>
      <c r="E75" s="366"/>
      <c r="F75" s="366"/>
      <c r="G75" s="366"/>
      <c r="H75" s="366"/>
      <c r="I75" s="366"/>
      <c r="J75" s="366"/>
      <c r="K75" s="366"/>
      <c r="L75" s="366"/>
      <c r="M75" s="366"/>
      <c r="N75" s="366"/>
    </row>
    <row r="76" spans="1:20" s="35" customFormat="1">
      <c r="B76" s="427"/>
      <c r="C76" s="371"/>
      <c r="D76" s="371"/>
      <c r="E76" s="371"/>
      <c r="F76" s="371"/>
      <c r="G76" s="371"/>
      <c r="H76" s="371"/>
      <c r="I76" s="371"/>
      <c r="J76" s="371"/>
      <c r="K76" s="371"/>
      <c r="L76" s="371"/>
      <c r="M76" s="371"/>
      <c r="N76" s="371"/>
    </row>
    <row r="77" spans="1:20">
      <c r="A77" s="35"/>
      <c r="B77" s="779" t="s">
        <v>217</v>
      </c>
      <c r="C77" s="154" t="str">
        <f>'RFPR cover'!$C$14</f>
        <v>£m 12/13</v>
      </c>
      <c r="D77" s="662">
        <f>INDEX(Data!$C$119:$L$146,MATCH('RFPR cover'!$C$5,Data!$B$119:$B$146,0),MATCH('R4 - Totex'!D$6,Data!$C$118:$L$118,0))</f>
        <v>7.1281196754416492</v>
      </c>
      <c r="E77" s="663">
        <f>INDEX(Data!$C$119:$L$146,MATCH('RFPR cover'!$C$5,Data!$B$119:$B$146,0),MATCH('R4 - Totex'!E$6,Data!$C$118:$L$118,0))</f>
        <v>6.9674138399666772</v>
      </c>
      <c r="F77" s="663">
        <f>INDEX(Data!$C$119:$L$146,MATCH('RFPR cover'!$C$5,Data!$B$119:$B$146,0),MATCH('R4 - Totex'!F$6,Data!$C$118:$L$118,0))</f>
        <v>6.2034025893135132</v>
      </c>
      <c r="G77" s="663">
        <f>INDEX(Data!$C$119:$L$146,MATCH('RFPR cover'!$C$5,Data!$B$119:$B$146,0),MATCH('R4 - Totex'!G$6,Data!$C$118:$L$118,0))</f>
        <v>6.3085978915797085</v>
      </c>
      <c r="H77" s="663">
        <f>INDEX(Data!$C$119:$L$146,MATCH('RFPR cover'!$C$5,Data!$B$119:$B$146,0),MATCH('R4 - Totex'!H$6,Data!$C$118:$L$118,0))</f>
        <v>6.2376648400128394</v>
      </c>
      <c r="I77" s="663">
        <f>INDEX(Data!$C$119:$L$146,MATCH('RFPR cover'!$C$5,Data!$B$119:$B$146,0),MATCH('R4 - Totex'!I$6,Data!$C$118:$L$118,0))</f>
        <v>6.4865819943041139</v>
      </c>
      <c r="J77" s="663">
        <f>INDEX(Data!$C$119:$L$146,MATCH('RFPR cover'!$C$5,Data!$B$119:$B$146,0),MATCH('R4 - Totex'!J$6,Data!$C$118:$L$118,0))</f>
        <v>6.8152516624832584</v>
      </c>
      <c r="K77" s="664">
        <f>INDEX(Data!$C$119:$L$146,MATCH('RFPR cover'!$C$5,Data!$B$119:$B$146,0),MATCH('R4 - Totex'!K$6,Data!$C$118:$L$118,0))</f>
        <v>6.6271056201039169</v>
      </c>
      <c r="L77" s="97">
        <f>SUM(D77:INDEX(D77:K77,0,MATCH('RFPR cover'!$C$7,$D$6:$K$6,0)))</f>
        <v>32.845198836314388</v>
      </c>
      <c r="M77" s="99">
        <f>SUM(D77:K77)</f>
        <v>52.774138113205673</v>
      </c>
    </row>
    <row r="78" spans="1:20">
      <c r="A78" s="35"/>
      <c r="B78" s="224" t="s">
        <v>201</v>
      </c>
      <c r="C78" s="154" t="s">
        <v>7</v>
      </c>
      <c r="D78" s="882">
        <f>IF(INDEX(Data!$J$73:$J$100,MATCH('RFPR cover'!$C$5,Data!$B$73:$B$100,0),0)="Pre",INDEX(Data!$G$18:$G$27,MATCH('R4 - Totex'!D$6,Data!$C$18:$C$27,0),0),"n/a")</f>
        <v>0.2</v>
      </c>
      <c r="E78" s="882">
        <f>IF(INDEX(Data!$J$73:$J$100,MATCH('RFPR cover'!$C$5,Data!$B$73:$B$100,0),0)="Pre",INDEX(Data!$G$18:$G$27,MATCH('R4 - Totex'!E$6,Data!$C$18:$C$27,0),0),"n/a")</f>
        <v>0.2</v>
      </c>
      <c r="F78" s="882">
        <f>IF(INDEX(Data!$J$73:$J$100,MATCH('RFPR cover'!$C$5,Data!$B$73:$B$100,0),0)="Pre",INDEX(Data!$G$18:$G$27,MATCH('R4 - Totex'!F$6,Data!$C$18:$C$27,0),0),"n/a")</f>
        <v>0.19</v>
      </c>
      <c r="G78" s="882">
        <f>IF(INDEX(Data!$J$73:$J$100,MATCH('RFPR cover'!$C$5,Data!$B$73:$B$100,0),0)="Pre",INDEX(Data!$G$18:$G$27,MATCH('R4 - Totex'!G$6,Data!$C$18:$C$27,0),0),"n/a")</f>
        <v>0.19</v>
      </c>
      <c r="H78" s="882">
        <f>IF(INDEX(Data!$J$73:$J$100,MATCH('RFPR cover'!$C$5,Data!$B$73:$B$100,0),0)="Pre",INDEX(Data!$G$18:$G$27,MATCH('R4 - Totex'!H$6,Data!$C$18:$C$27,0),0),"n/a")</f>
        <v>0.19</v>
      </c>
      <c r="I78" s="882">
        <f>IF(INDEX(Data!$J$73:$J$100,MATCH('RFPR cover'!$C$5,Data!$B$73:$B$100,0),0)="Pre",INDEX(Data!$G$18:$G$27,MATCH('R4 - Totex'!I$6,Data!$C$18:$C$27,0),0),"n/a")</f>
        <v>0.19</v>
      </c>
      <c r="J78" s="882">
        <f>IF(INDEX(Data!$J$73:$J$100,MATCH('RFPR cover'!$C$5,Data!$B$73:$B$100,0),0)="Pre",INDEX(Data!$G$18:$G$27,MATCH('R4 - Totex'!J$6,Data!$C$18:$C$27,0),0),"n/a")</f>
        <v>0.19</v>
      </c>
      <c r="K78" s="882">
        <f>IF(INDEX(Data!$J$73:$J$100,MATCH('RFPR cover'!$C$5,Data!$B$73:$B$100,0),0)="Pre",INDEX(Data!$G$18:$G$27,MATCH('R4 - Totex'!K$6,Data!$C$18:$C$27,0),0),"n/a")</f>
        <v>0.19</v>
      </c>
      <c r="L78" s="880"/>
      <c r="M78" s="881"/>
    </row>
    <row r="79" spans="1:20">
      <c r="A79" s="35"/>
      <c r="B79" s="224" t="s">
        <v>210</v>
      </c>
      <c r="C79" s="154" t="str">
        <f>'RFPR cover'!$C$14</f>
        <v>£m 12/13</v>
      </c>
      <c r="D79" s="609">
        <f>IF(ISNUMBER(D78),D77*(1-D78),D77)</f>
        <v>5.7024957403533199</v>
      </c>
      <c r="E79" s="610">
        <f t="shared" ref="E79:K79" si="24">IF(ISNUMBER(E78),E77*(1-E78),E77)</f>
        <v>5.5739310719733419</v>
      </c>
      <c r="F79" s="610">
        <f t="shared" si="24"/>
        <v>5.0247560973439462</v>
      </c>
      <c r="G79" s="610">
        <f t="shared" si="24"/>
        <v>5.1099642921795638</v>
      </c>
      <c r="H79" s="610">
        <f t="shared" si="24"/>
        <v>5.0525085204104005</v>
      </c>
      <c r="I79" s="610">
        <f t="shared" si="24"/>
        <v>5.2541314153863325</v>
      </c>
      <c r="J79" s="610">
        <f t="shared" si="24"/>
        <v>5.5203538466114397</v>
      </c>
      <c r="K79" s="611">
        <f t="shared" si="24"/>
        <v>5.3679555522841733</v>
      </c>
      <c r="L79" s="668">
        <f>SUM(D79:INDEX(D79:K79,0,MATCH('RFPR cover'!$C$7,$D$6:$K$6,0)))</f>
        <v>26.463655722260569</v>
      </c>
      <c r="M79" s="669">
        <f>SUM(D79:K79)</f>
        <v>42.606096536542516</v>
      </c>
    </row>
    <row r="80" spans="1:20">
      <c r="A80" s="35"/>
      <c r="B80" s="224"/>
      <c r="C80" s="66"/>
      <c r="D80" s="281"/>
      <c r="E80" s="281"/>
      <c r="F80" s="281"/>
      <c r="G80" s="281"/>
      <c r="H80" s="281"/>
      <c r="I80" s="281"/>
      <c r="J80" s="281"/>
      <c r="K80" s="281"/>
      <c r="L80" s="282"/>
      <c r="M80" s="282"/>
    </row>
    <row r="81" spans="1:20">
      <c r="A81" s="35"/>
      <c r="B81" s="224"/>
      <c r="C81" s="66"/>
      <c r="D81" s="281"/>
      <c r="E81" s="281"/>
      <c r="F81" s="281"/>
      <c r="G81" s="281"/>
      <c r="H81" s="281"/>
      <c r="I81" s="281"/>
      <c r="J81" s="281"/>
      <c r="K81" s="281"/>
      <c r="L81" s="282"/>
      <c r="M81" s="282"/>
    </row>
    <row r="82" spans="1:20">
      <c r="A82" s="35"/>
      <c r="B82" s="224"/>
      <c r="C82" s="66"/>
      <c r="D82" s="281"/>
      <c r="E82" s="281"/>
      <c r="F82" s="281"/>
      <c r="G82" s="281"/>
      <c r="H82" s="281"/>
      <c r="I82" s="281"/>
      <c r="J82" s="281"/>
      <c r="K82" s="281"/>
      <c r="L82" s="282"/>
      <c r="M82" s="282"/>
    </row>
    <row r="83" spans="1:20">
      <c r="A83" s="35"/>
      <c r="B83" s="772"/>
    </row>
    <row r="84" spans="1:20">
      <c r="A84" s="35"/>
      <c r="B84" s="774" t="s">
        <v>187</v>
      </c>
      <c r="C84" s="290"/>
      <c r="D84" s="292"/>
      <c r="E84" s="292"/>
      <c r="F84" s="292"/>
      <c r="G84" s="292"/>
      <c r="H84" s="292"/>
      <c r="I84" s="292"/>
      <c r="J84" s="292"/>
      <c r="K84" s="292"/>
      <c r="L84" s="292"/>
      <c r="M84" s="292"/>
      <c r="N84" s="292"/>
    </row>
    <row r="85" spans="1:20">
      <c r="A85" s="35"/>
      <c r="B85" s="780"/>
    </row>
    <row r="86" spans="1:20">
      <c r="A86" s="35"/>
      <c r="B86" s="779" t="str">
        <f>Data!B34</f>
        <v>Financial Year Average RPI (RPIt)</v>
      </c>
      <c r="C86" s="135" t="s">
        <v>127</v>
      </c>
      <c r="D86" s="111">
        <f>Data!C$34</f>
        <v>1.0603167467048125</v>
      </c>
      <c r="E86" s="112">
        <f>Data!D$34</f>
        <v>1.0830366813119445</v>
      </c>
      <c r="F86" s="112">
        <f>Data!E$34</f>
        <v>1.1235639113109226</v>
      </c>
      <c r="G86" s="112">
        <f>Data!F$34</f>
        <v>1.1578951670583426</v>
      </c>
      <c r="H86" s="112">
        <f>Data!G$34</f>
        <v>1.1878696229692449</v>
      </c>
      <c r="I86" s="112">
        <f>Data!H$34</f>
        <v>1.2080634065597218</v>
      </c>
      <c r="J86" s="112">
        <f>Data!I$34</f>
        <v>1.2337347539491161</v>
      </c>
      <c r="K86" s="113">
        <f>Data!J$34</f>
        <v>1.2655034238633056</v>
      </c>
    </row>
    <row r="87" spans="1:20">
      <c r="A87" s="35"/>
      <c r="B87" s="779"/>
      <c r="D87" s="135"/>
      <c r="E87" s="135"/>
      <c r="F87" s="135"/>
      <c r="G87" s="135"/>
      <c r="H87" s="135"/>
      <c r="I87" s="135"/>
      <c r="J87" s="135"/>
      <c r="K87" s="135"/>
    </row>
    <row r="88" spans="1:20">
      <c r="A88" s="35"/>
      <c r="B88" s="775" t="str">
        <f>B10</f>
        <v>Totex</v>
      </c>
      <c r="C88" s="149"/>
      <c r="D88" s="82"/>
      <c r="E88" s="82"/>
      <c r="F88" s="82"/>
      <c r="G88" s="82"/>
      <c r="H88" s="82"/>
      <c r="I88" s="82"/>
      <c r="J88" s="82"/>
      <c r="K88" s="82"/>
      <c r="L88" s="82"/>
      <c r="M88" s="82"/>
      <c r="N88" s="82"/>
    </row>
    <row r="89" spans="1:20" s="35" customFormat="1">
      <c r="B89" s="776"/>
      <c r="C89" s="137"/>
      <c r="D89" s="319"/>
      <c r="E89" s="319"/>
      <c r="F89" s="319"/>
      <c r="G89" s="319"/>
      <c r="H89" s="319"/>
      <c r="I89" s="319"/>
      <c r="J89" s="319"/>
      <c r="K89" s="319"/>
      <c r="L89" s="319"/>
      <c r="M89" s="319"/>
      <c r="N89" s="319"/>
    </row>
    <row r="90" spans="1:20">
      <c r="A90" s="35"/>
      <c r="B90" s="304" t="s">
        <v>34</v>
      </c>
      <c r="C90" s="154" t="s">
        <v>128</v>
      </c>
      <c r="D90" s="671">
        <f>D12*D$86</f>
        <v>307.90050000000002</v>
      </c>
      <c r="E90" s="671">
        <f t="shared" ref="D90:K91" si="25">E12*E$86</f>
        <v>317.37679907752312</v>
      </c>
      <c r="F90" s="671">
        <f t="shared" si="25"/>
        <v>286.17205086083544</v>
      </c>
      <c r="G90" s="671">
        <f t="shared" si="25"/>
        <v>266.16471925327392</v>
      </c>
      <c r="H90" s="671">
        <f t="shared" si="25"/>
        <v>292.16533520392898</v>
      </c>
      <c r="I90" s="671">
        <f t="shared" si="25"/>
        <v>286.92147411118566</v>
      </c>
      <c r="J90" s="671">
        <f t="shared" si="25"/>
        <v>325.71692512969554</v>
      </c>
      <c r="K90" s="671">
        <f t="shared" si="25"/>
        <v>334.42931330321085</v>
      </c>
      <c r="L90" s="670">
        <f>SUM(D90:INDEX(D90:K90,0,MATCH('RFPR cover'!$C$7,$D$6:$K$6,0)))</f>
        <v>1469.7794043955614</v>
      </c>
      <c r="M90" s="671">
        <f>SUM(D90:K90)</f>
        <v>2416.8471169396535</v>
      </c>
      <c r="N90" s="63"/>
      <c r="O90" s="63"/>
    </row>
    <row r="91" spans="1:20" ht="25.2">
      <c r="A91" s="35"/>
      <c r="B91" s="777" t="s">
        <v>197</v>
      </c>
      <c r="C91" s="154" t="s">
        <v>128</v>
      </c>
      <c r="D91" s="671">
        <f t="shared" si="25"/>
        <v>302.31469814545642</v>
      </c>
      <c r="E91" s="671">
        <f t="shared" si="25"/>
        <v>302.40908838659561</v>
      </c>
      <c r="F91" s="671">
        <f t="shared" si="25"/>
        <v>279.21605339725045</v>
      </c>
      <c r="G91" s="671">
        <f t="shared" si="25"/>
        <v>293.44187816227401</v>
      </c>
      <c r="H91" s="671">
        <f t="shared" si="25"/>
        <v>297.70008515004105</v>
      </c>
      <c r="I91" s="671">
        <f t="shared" si="25"/>
        <v>310.85641509436397</v>
      </c>
      <c r="J91" s="671">
        <f t="shared" si="25"/>
        <v>333.63550826989365</v>
      </c>
      <c r="K91" s="671">
        <f t="shared" si="25"/>
        <v>332.65662314922713</v>
      </c>
      <c r="L91" s="672">
        <f>SUM(D91:INDEX(D91:K91,0,MATCH('RFPR cover'!$C$7,$D$6:$K$6,0)))</f>
        <v>1475.0818032416175</v>
      </c>
      <c r="M91" s="673">
        <f>SUM(D91:K91)</f>
        <v>2452.230349755102</v>
      </c>
      <c r="N91" s="63"/>
      <c r="O91" s="63"/>
    </row>
    <row r="92" spans="1:20">
      <c r="A92" s="35"/>
      <c r="B92" s="778" t="s">
        <v>195</v>
      </c>
      <c r="C92" s="154" t="s">
        <v>128</v>
      </c>
      <c r="D92" s="101">
        <f>D91-D90</f>
        <v>-5.5858018545436039</v>
      </c>
      <c r="E92" s="102">
        <f t="shared" ref="E92:M92" si="26">E91-E90</f>
        <v>-14.967710690927504</v>
      </c>
      <c r="F92" s="102">
        <f t="shared" si="26"/>
        <v>-6.9559974635849926</v>
      </c>
      <c r="G92" s="102">
        <f t="shared" si="26"/>
        <v>27.277158909000093</v>
      </c>
      <c r="H92" s="102">
        <f t="shared" si="26"/>
        <v>5.5347499461120719</v>
      </c>
      <c r="I92" s="102">
        <f t="shared" si="26"/>
        <v>23.934940983178308</v>
      </c>
      <c r="J92" s="102">
        <f t="shared" si="26"/>
        <v>7.918583140198109</v>
      </c>
      <c r="K92" s="103">
        <f t="shared" si="26"/>
        <v>-1.7726901539837172</v>
      </c>
      <c r="L92" s="101">
        <f t="shared" si="26"/>
        <v>5.3023988460561213</v>
      </c>
      <c r="M92" s="103">
        <f t="shared" si="26"/>
        <v>35.383232815448537</v>
      </c>
      <c r="N92" s="63"/>
      <c r="O92" s="1014"/>
      <c r="P92" s="1014"/>
      <c r="Q92" s="1014"/>
      <c r="R92"/>
      <c r="S92"/>
      <c r="T92"/>
    </row>
    <row r="93" spans="1:20" ht="13.2">
      <c r="A93" s="35"/>
      <c r="B93" s="778"/>
      <c r="C93" s="154"/>
      <c r="D93" s="59"/>
      <c r="E93" s="59"/>
      <c r="F93" s="59"/>
      <c r="G93" s="59"/>
      <c r="H93" s="59"/>
      <c r="I93" s="59"/>
      <c r="J93" s="59"/>
      <c r="K93" s="59"/>
      <c r="L93" s="59"/>
      <c r="M93" s="59"/>
      <c r="O93" s="64"/>
      <c r="P93" s="64"/>
      <c r="Q93" s="64"/>
      <c r="R93"/>
      <c r="S93"/>
      <c r="T93"/>
    </row>
    <row r="94" spans="1:20">
      <c r="A94" s="35"/>
      <c r="B94" s="772" t="s">
        <v>178</v>
      </c>
      <c r="C94" s="135" t="s">
        <v>7</v>
      </c>
      <c r="D94" s="108">
        <f>1-INDEX(Data!$D$73:$D$100,MATCH('RFPR cover'!$C$5,Data!$B$73:$B$100,0),0)</f>
        <v>0.30000000000000004</v>
      </c>
      <c r="E94" s="109">
        <f>1-INDEX(Data!$D$73:$D$100,MATCH('RFPR cover'!$C$5,Data!$B$73:$B$100,0),0)</f>
        <v>0.30000000000000004</v>
      </c>
      <c r="F94" s="109">
        <f>1-INDEX(Data!$D$73:$D$100,MATCH('RFPR cover'!$C$5,Data!$B$73:$B$100,0),0)</f>
        <v>0.30000000000000004</v>
      </c>
      <c r="G94" s="109">
        <f>1-INDEX(Data!$D$73:$D$100,MATCH('RFPR cover'!$C$5,Data!$B$73:$B$100,0),0)</f>
        <v>0.30000000000000004</v>
      </c>
      <c r="H94" s="109">
        <f>1-INDEX(Data!$D$73:$D$100,MATCH('RFPR cover'!$C$5,Data!$B$73:$B$100,0),0)</f>
        <v>0.30000000000000004</v>
      </c>
      <c r="I94" s="109">
        <f>1-INDEX(Data!$D$73:$D$100,MATCH('RFPR cover'!$C$5,Data!$B$73:$B$100,0),0)</f>
        <v>0.30000000000000004</v>
      </c>
      <c r="J94" s="109">
        <f>1-INDEX(Data!$D$73:$D$100,MATCH('RFPR cover'!$C$5,Data!$B$73:$B$100,0),0)</f>
        <v>0.30000000000000004</v>
      </c>
      <c r="K94" s="110">
        <f>1-INDEX(Data!$D$73:$D$100,MATCH('RFPR cover'!$C$5,Data!$B$73:$B$100,0),0)</f>
        <v>0.30000000000000004</v>
      </c>
      <c r="L94" s="62"/>
      <c r="M94" s="62"/>
      <c r="O94"/>
      <c r="P94"/>
      <c r="Q94"/>
      <c r="R94"/>
      <c r="S94"/>
      <c r="T94"/>
    </row>
    <row r="95" spans="1:20">
      <c r="A95" s="35"/>
      <c r="B95" s="772"/>
      <c r="O95"/>
      <c r="P95"/>
      <c r="Q95"/>
      <c r="R95"/>
      <c r="S95"/>
      <c r="T95"/>
    </row>
    <row r="96" spans="1:20">
      <c r="A96" s="35"/>
      <c r="B96" s="779" t="s">
        <v>183</v>
      </c>
      <c r="C96" s="154" t="s">
        <v>128</v>
      </c>
      <c r="D96" s="94">
        <f>D92*D94</f>
        <v>-1.6757405563630814</v>
      </c>
      <c r="E96" s="95">
        <f t="shared" ref="E96:K96" si="27">E92*E94</f>
        <v>-4.4903132072782519</v>
      </c>
      <c r="F96" s="95">
        <f t="shared" si="27"/>
        <v>-2.0867992390754981</v>
      </c>
      <c r="G96" s="95">
        <f t="shared" si="27"/>
        <v>8.183147672700029</v>
      </c>
      <c r="H96" s="95">
        <f t="shared" si="27"/>
        <v>1.6604249838336218</v>
      </c>
      <c r="I96" s="95">
        <f t="shared" si="27"/>
        <v>7.1804822949534932</v>
      </c>
      <c r="J96" s="95">
        <f t="shared" si="27"/>
        <v>2.375574942059433</v>
      </c>
      <c r="K96" s="95">
        <f t="shared" si="27"/>
        <v>-0.53180704619511521</v>
      </c>
      <c r="L96" s="94">
        <f>SUM(D96:INDEX(D96:K96,0,MATCH('RFPR cover'!$C$7,$D$6:$K$6,0)))</f>
        <v>1.5907196538168196</v>
      </c>
      <c r="M96" s="96">
        <f>SUM(D96:K96)</f>
        <v>10.614969844634631</v>
      </c>
      <c r="O96"/>
      <c r="P96"/>
      <c r="Q96"/>
      <c r="R96"/>
      <c r="S96"/>
      <c r="T96"/>
    </row>
    <row r="97" spans="1:20">
      <c r="A97" s="35"/>
      <c r="B97" s="779" t="s">
        <v>280</v>
      </c>
      <c r="C97" s="154" t="s">
        <v>128</v>
      </c>
      <c r="D97" s="91">
        <f>D92*(1-D94)</f>
        <v>-3.9100612981805223</v>
      </c>
      <c r="E97" s="92">
        <f t="shared" ref="E97:K97" si="28">E92*(1-E94)</f>
        <v>-10.477397483649252</v>
      </c>
      <c r="F97" s="92">
        <f t="shared" si="28"/>
        <v>-4.8691982245094945</v>
      </c>
      <c r="G97" s="92">
        <f t="shared" si="28"/>
        <v>19.094011236300062</v>
      </c>
      <c r="H97" s="92">
        <f t="shared" si="28"/>
        <v>3.8743249622784499</v>
      </c>
      <c r="I97" s="92">
        <f t="shared" si="28"/>
        <v>16.754458688224815</v>
      </c>
      <c r="J97" s="92">
        <f t="shared" si="28"/>
        <v>5.5430081981386756</v>
      </c>
      <c r="K97" s="92">
        <f t="shared" si="28"/>
        <v>-1.240883107788602</v>
      </c>
      <c r="L97" s="91">
        <f>SUM(D97:INDEX(D97:K97,0,MATCH('RFPR cover'!$C$7,$D$6:$K$6,0)))</f>
        <v>3.7116791922392447</v>
      </c>
      <c r="M97" s="93">
        <f>SUM(D97:K97)</f>
        <v>24.768262970814135</v>
      </c>
      <c r="O97"/>
      <c r="P97"/>
      <c r="Q97"/>
      <c r="R97"/>
      <c r="S97"/>
      <c r="T97"/>
    </row>
    <row r="98" spans="1:20">
      <c r="A98" s="35"/>
      <c r="B98" s="772"/>
      <c r="O98"/>
      <c r="P98"/>
      <c r="Q98"/>
      <c r="R98"/>
      <c r="S98"/>
      <c r="T98"/>
    </row>
    <row r="99" spans="1:20">
      <c r="A99" s="35"/>
      <c r="B99" s="780" t="s">
        <v>182</v>
      </c>
      <c r="N99" s="63"/>
      <c r="O99"/>
      <c r="P99"/>
      <c r="Q99"/>
      <c r="R99"/>
      <c r="S99"/>
      <c r="T99"/>
    </row>
    <row r="100" spans="1:20">
      <c r="A100" s="268" t="s">
        <v>151</v>
      </c>
      <c r="B100" s="224" t="str">
        <f t="shared" ref="B100:B105" si="29">B22</f>
        <v>Pensions prepayment (See Appendices within RFPR commentary documentation)</v>
      </c>
      <c r="C100" s="154" t="s">
        <v>128</v>
      </c>
      <c r="D100" s="591">
        <f t="shared" ref="D100:K105" si="30">D22*D$86</f>
        <v>0</v>
      </c>
      <c r="E100" s="591">
        <f t="shared" si="30"/>
        <v>12.778897470047131</v>
      </c>
      <c r="F100" s="591">
        <f t="shared" si="30"/>
        <v>-12.46939378674174</v>
      </c>
      <c r="G100" s="591">
        <f t="shared" si="30"/>
        <v>-0.30950368330538858</v>
      </c>
      <c r="H100" s="591">
        <f t="shared" si="30"/>
        <v>0</v>
      </c>
      <c r="I100" s="591">
        <f t="shared" si="30"/>
        <v>0</v>
      </c>
      <c r="J100" s="591">
        <f t="shared" si="30"/>
        <v>0</v>
      </c>
      <c r="K100" s="591">
        <f t="shared" si="30"/>
        <v>0</v>
      </c>
      <c r="L100" s="583">
        <f>SUM(D100:INDEX(D100:K100,0,MATCH('RFPR cover'!$C$7,$D$6:$K$6,0)))</f>
        <v>1.7763568394002505E-15</v>
      </c>
      <c r="M100" s="584">
        <f t="shared" ref="M100:M106" si="31">SUM(D100:K100)</f>
        <v>1.7763568394002505E-15</v>
      </c>
      <c r="N100" s="63"/>
      <c r="O100"/>
      <c r="P100"/>
      <c r="Q100"/>
      <c r="R100"/>
      <c r="S100"/>
      <c r="T100"/>
    </row>
    <row r="101" spans="1:20">
      <c r="A101" s="268" t="s">
        <v>152</v>
      </c>
      <c r="B101" s="224" t="str">
        <f t="shared" si="29"/>
        <v>Rail Electrification (See Appendices within RFRS commentary documentation)</v>
      </c>
      <c r="C101" s="154" t="s">
        <v>128</v>
      </c>
      <c r="D101" s="591">
        <f t="shared" si="30"/>
        <v>0</v>
      </c>
      <c r="E101" s="591">
        <f t="shared" si="30"/>
        <v>0</v>
      </c>
      <c r="F101" s="591">
        <f t="shared" si="30"/>
        <v>-15.068276755419697</v>
      </c>
      <c r="G101" s="591">
        <f t="shared" si="30"/>
        <v>-1.5363365807424632</v>
      </c>
      <c r="H101" s="591">
        <f t="shared" si="30"/>
        <v>5.4077035308084769</v>
      </c>
      <c r="I101" s="591">
        <f t="shared" si="30"/>
        <v>4.1013752652702555</v>
      </c>
      <c r="J101" s="591">
        <f t="shared" si="30"/>
        <v>4.1885294896572489</v>
      </c>
      <c r="K101" s="591">
        <f t="shared" si="30"/>
        <v>4.2970680755139368</v>
      </c>
      <c r="L101" s="587">
        <f>SUM(D101:INDEX(D101:K101,0,MATCH('RFPR cover'!$C$7,$D$6:$K$6,0)))</f>
        <v>-11.196909805353684</v>
      </c>
      <c r="M101" s="588">
        <f t="shared" si="31"/>
        <v>1.3900630250877573</v>
      </c>
      <c r="N101" s="63"/>
      <c r="O101"/>
      <c r="P101"/>
      <c r="Q101"/>
      <c r="R101"/>
      <c r="S101"/>
      <c r="T101"/>
    </row>
    <row r="102" spans="1:20">
      <c r="A102" s="268" t="s">
        <v>153</v>
      </c>
      <c r="B102" s="224" t="str">
        <f t="shared" si="29"/>
        <v>TIM neutral and Smart meter adjustments to Totex allowance</v>
      </c>
      <c r="C102" s="154" t="s">
        <v>128</v>
      </c>
      <c r="D102" s="591">
        <f t="shared" si="30"/>
        <v>0</v>
      </c>
      <c r="E102" s="591">
        <f t="shared" si="30"/>
        <v>0</v>
      </c>
      <c r="F102" s="591">
        <f t="shared" si="30"/>
        <v>0</v>
      </c>
      <c r="G102" s="591">
        <f t="shared" si="30"/>
        <v>0</v>
      </c>
      <c r="H102" s="591">
        <f t="shared" si="30"/>
        <v>-0.8745284970332724</v>
      </c>
      <c r="I102" s="591">
        <f t="shared" si="30"/>
        <v>-0.70807043692522154</v>
      </c>
      <c r="J102" s="591">
        <f t="shared" si="30"/>
        <v>3.7651868402878041</v>
      </c>
      <c r="K102" s="591">
        <f t="shared" si="30"/>
        <v>2.9612305069170288</v>
      </c>
      <c r="L102" s="587">
        <f>SUM(D102:INDEX(D102:K102,0,MATCH('RFPR cover'!$C$7,$D$6:$K$6,0)))</f>
        <v>-0.8745284970332724</v>
      </c>
      <c r="M102" s="588">
        <f t="shared" si="31"/>
        <v>5.1438184132463389</v>
      </c>
      <c r="N102" s="63"/>
      <c r="O102"/>
      <c r="P102"/>
      <c r="Q102"/>
      <c r="R102"/>
      <c r="S102" s="65"/>
      <c r="T102"/>
    </row>
    <row r="103" spans="1:20">
      <c r="A103" s="268" t="s">
        <v>168</v>
      </c>
      <c r="B103" s="224" t="str">
        <f t="shared" si="29"/>
        <v>[Enduring Value adjustment]</v>
      </c>
      <c r="C103" s="154" t="s">
        <v>128</v>
      </c>
      <c r="D103" s="591">
        <f t="shared" si="30"/>
        <v>0</v>
      </c>
      <c r="E103" s="591">
        <f t="shared" si="30"/>
        <v>0</v>
      </c>
      <c r="F103" s="591">
        <f t="shared" si="30"/>
        <v>0</v>
      </c>
      <c r="G103" s="591">
        <f t="shared" si="30"/>
        <v>0</v>
      </c>
      <c r="H103" s="591">
        <f t="shared" si="30"/>
        <v>0</v>
      </c>
      <c r="I103" s="591">
        <f t="shared" si="30"/>
        <v>0</v>
      </c>
      <c r="J103" s="591">
        <f t="shared" si="30"/>
        <v>0</v>
      </c>
      <c r="K103" s="591">
        <f t="shared" si="30"/>
        <v>0</v>
      </c>
      <c r="L103" s="587">
        <f>SUM(D103:INDEX(D103:K103,0,MATCH('RFPR cover'!$C$7,$D$6:$K$6,0)))</f>
        <v>0</v>
      </c>
      <c r="M103" s="588">
        <f t="shared" si="31"/>
        <v>0</v>
      </c>
      <c r="N103" s="63"/>
      <c r="O103"/>
      <c r="P103"/>
      <c r="Q103"/>
      <c r="R103"/>
      <c r="S103"/>
      <c r="T103"/>
    </row>
    <row r="104" spans="1:20">
      <c r="A104" s="268" t="s">
        <v>169</v>
      </c>
      <c r="B104" s="224" t="str">
        <f t="shared" si="29"/>
        <v>[Enduring Value adjustment]</v>
      </c>
      <c r="C104" s="154" t="s">
        <v>128</v>
      </c>
      <c r="D104" s="591">
        <f t="shared" si="30"/>
        <v>0</v>
      </c>
      <c r="E104" s="591">
        <f t="shared" si="30"/>
        <v>0</v>
      </c>
      <c r="F104" s="591">
        <f t="shared" si="30"/>
        <v>0</v>
      </c>
      <c r="G104" s="591">
        <f t="shared" si="30"/>
        <v>0</v>
      </c>
      <c r="H104" s="591">
        <f t="shared" si="30"/>
        <v>0</v>
      </c>
      <c r="I104" s="591">
        <f t="shared" si="30"/>
        <v>0</v>
      </c>
      <c r="J104" s="591">
        <f t="shared" si="30"/>
        <v>0</v>
      </c>
      <c r="K104" s="591">
        <f t="shared" si="30"/>
        <v>0</v>
      </c>
      <c r="L104" s="587">
        <f>SUM(D104:INDEX(D104:K104,0,MATCH('RFPR cover'!$C$7,$D$6:$K$6,0)))</f>
        <v>0</v>
      </c>
      <c r="M104" s="588">
        <f t="shared" si="31"/>
        <v>0</v>
      </c>
      <c r="N104" s="63"/>
      <c r="O104"/>
      <c r="P104"/>
      <c r="Q104"/>
      <c r="R104"/>
      <c r="S104"/>
      <c r="T104"/>
    </row>
    <row r="105" spans="1:20">
      <c r="A105" s="268" t="s">
        <v>170</v>
      </c>
      <c r="B105" s="224" t="str">
        <f t="shared" si="29"/>
        <v>[Enduring Value adjustment]</v>
      </c>
      <c r="C105" s="154" t="s">
        <v>128</v>
      </c>
      <c r="D105" s="591">
        <f t="shared" si="30"/>
        <v>0</v>
      </c>
      <c r="E105" s="591">
        <f t="shared" si="30"/>
        <v>0</v>
      </c>
      <c r="F105" s="591">
        <f t="shared" si="30"/>
        <v>0</v>
      </c>
      <c r="G105" s="591">
        <f t="shared" si="30"/>
        <v>0</v>
      </c>
      <c r="H105" s="591">
        <f t="shared" si="30"/>
        <v>0</v>
      </c>
      <c r="I105" s="591">
        <f t="shared" si="30"/>
        <v>0</v>
      </c>
      <c r="J105" s="591">
        <f t="shared" si="30"/>
        <v>0</v>
      </c>
      <c r="K105" s="591">
        <f t="shared" si="30"/>
        <v>0</v>
      </c>
      <c r="L105" s="591">
        <f>SUM(D105:INDEX(D105:K105,0,MATCH('RFPR cover'!$C$7,$D$6:$K$6,0)))</f>
        <v>0</v>
      </c>
      <c r="M105" s="592">
        <f t="shared" si="31"/>
        <v>0</v>
      </c>
      <c r="N105" s="63"/>
      <c r="O105"/>
      <c r="P105"/>
      <c r="Q105"/>
      <c r="R105"/>
      <c r="S105"/>
      <c r="T105"/>
    </row>
    <row r="106" spans="1:20">
      <c r="A106" s="35"/>
      <c r="B106" s="780" t="s">
        <v>190</v>
      </c>
      <c r="C106" s="154" t="s">
        <v>128</v>
      </c>
      <c r="D106" s="101">
        <f>SUM(D100:D105)</f>
        <v>0</v>
      </c>
      <c r="E106" s="102">
        <f t="shared" ref="E106:K106" si="32">SUM(E100:E105)</f>
        <v>12.778897470047131</v>
      </c>
      <c r="F106" s="102">
        <f t="shared" si="32"/>
        <v>-27.537670542161436</v>
      </c>
      <c r="G106" s="102">
        <f t="shared" si="32"/>
        <v>-1.8458402640478517</v>
      </c>
      <c r="H106" s="102">
        <f t="shared" si="32"/>
        <v>4.5331750337752048</v>
      </c>
      <c r="I106" s="102">
        <f t="shared" si="32"/>
        <v>3.393304828345034</v>
      </c>
      <c r="J106" s="102">
        <f t="shared" si="32"/>
        <v>7.9537163299450526</v>
      </c>
      <c r="K106" s="103">
        <f t="shared" si="32"/>
        <v>7.2582985824309656</v>
      </c>
      <c r="L106" s="101">
        <f>SUM(D106:INDEX(D106:K106,0,MATCH('RFPR cover'!$C$7,$D$6:$K$6,0)))</f>
        <v>-12.071438302386952</v>
      </c>
      <c r="M106" s="103">
        <f t="shared" si="31"/>
        <v>6.5338814383341006</v>
      </c>
      <c r="N106" s="63"/>
    </row>
    <row r="107" spans="1:20">
      <c r="A107" s="35"/>
      <c r="B107" s="772"/>
    </row>
    <row r="108" spans="1:20">
      <c r="A108" s="35"/>
      <c r="B108" s="779" t="s">
        <v>198</v>
      </c>
      <c r="C108" s="154" t="s">
        <v>128</v>
      </c>
      <c r="D108" s="94">
        <f t="shared" ref="D108:K108" si="33">D106*D94</f>
        <v>0</v>
      </c>
      <c r="E108" s="95">
        <f t="shared" si="33"/>
        <v>3.8336692410141398</v>
      </c>
      <c r="F108" s="95">
        <f t="shared" si="33"/>
        <v>-8.2613011626484312</v>
      </c>
      <c r="G108" s="95">
        <f t="shared" si="33"/>
        <v>-0.55375207921435565</v>
      </c>
      <c r="H108" s="95">
        <f t="shared" si="33"/>
        <v>1.3599525101325616</v>
      </c>
      <c r="I108" s="95">
        <f t="shared" si="33"/>
        <v>1.0179914485035104</v>
      </c>
      <c r="J108" s="95">
        <f t="shared" si="33"/>
        <v>2.3861148989835161</v>
      </c>
      <c r="K108" s="95">
        <f t="shared" si="33"/>
        <v>2.1774895747292899</v>
      </c>
      <c r="L108" s="94">
        <f>SUM(D108:INDEX(D108:K108,0,MATCH('RFPR cover'!$C$7,$D$6:$K$6,0)))</f>
        <v>-3.6214314907160849</v>
      </c>
      <c r="M108" s="96">
        <f>SUM(D108:K108)</f>
        <v>1.9601644315002313</v>
      </c>
    </row>
    <row r="109" spans="1:20">
      <c r="A109" s="35"/>
      <c r="B109" s="779" t="s">
        <v>309</v>
      </c>
      <c r="C109" s="154" t="s">
        <v>128</v>
      </c>
      <c r="D109" s="91">
        <f t="shared" ref="D109:K109" si="34">D106*(1-D94)</f>
        <v>0</v>
      </c>
      <c r="E109" s="92">
        <f t="shared" si="34"/>
        <v>8.9452282290329901</v>
      </c>
      <c r="F109" s="92">
        <f t="shared" si="34"/>
        <v>-19.276369379513003</v>
      </c>
      <c r="G109" s="92">
        <f t="shared" si="34"/>
        <v>-1.2920881848334962</v>
      </c>
      <c r="H109" s="92">
        <f t="shared" si="34"/>
        <v>3.173222523642643</v>
      </c>
      <c r="I109" s="92">
        <f t="shared" si="34"/>
        <v>2.3753133798415238</v>
      </c>
      <c r="J109" s="92">
        <f t="shared" si="34"/>
        <v>5.5676014309615365</v>
      </c>
      <c r="K109" s="92">
        <f t="shared" si="34"/>
        <v>5.0808090077016752</v>
      </c>
      <c r="L109" s="91">
        <f>SUM(D109:INDEX(D109:K109,0,MATCH('RFPR cover'!$C$7,$D$6:$K$6,0)))</f>
        <v>-8.4500068116708658</v>
      </c>
      <c r="M109" s="93">
        <f>SUM(D109:K109)</f>
        <v>4.5737170068338697</v>
      </c>
    </row>
    <row r="110" spans="1:20">
      <c r="A110" s="35"/>
      <c r="B110" s="772"/>
    </row>
    <row r="111" spans="1:20">
      <c r="A111" s="35"/>
      <c r="B111" s="780" t="s">
        <v>181</v>
      </c>
    </row>
    <row r="112" spans="1:20">
      <c r="A112" s="35"/>
      <c r="B112" s="772" t="s">
        <v>180</v>
      </c>
      <c r="C112" s="154" t="s">
        <v>128</v>
      </c>
      <c r="D112" s="94">
        <f>D96+D108</f>
        <v>-1.6757405563630814</v>
      </c>
      <c r="E112" s="95">
        <f t="shared" ref="E112:K112" si="35">E96+E108</f>
        <v>-0.65664396626411214</v>
      </c>
      <c r="F112" s="95">
        <f t="shared" si="35"/>
        <v>-10.348100401723929</v>
      </c>
      <c r="G112" s="95">
        <f t="shared" si="35"/>
        <v>7.6293955934856736</v>
      </c>
      <c r="H112" s="95">
        <f t="shared" si="35"/>
        <v>3.0203774939661834</v>
      </c>
      <c r="I112" s="95">
        <f t="shared" si="35"/>
        <v>8.1984737434570043</v>
      </c>
      <c r="J112" s="95">
        <f t="shared" si="35"/>
        <v>4.7616898410429496</v>
      </c>
      <c r="K112" s="95">
        <f t="shared" si="35"/>
        <v>1.6456825285341747</v>
      </c>
      <c r="L112" s="94">
        <f>SUM(D112:INDEX(D112:K112,0,MATCH('RFPR cover'!$C$7,$D$6:$K$6,0)))</f>
        <v>-2.0307118368992665</v>
      </c>
      <c r="M112" s="96">
        <f>SUM(D112:K112)</f>
        <v>12.575134276134863</v>
      </c>
    </row>
    <row r="113" spans="1:20">
      <c r="A113" s="35"/>
      <c r="B113" s="772" t="s">
        <v>280</v>
      </c>
      <c r="C113" s="154" t="s">
        <v>128</v>
      </c>
      <c r="D113" s="520">
        <f>D97+D109</f>
        <v>-3.9100612981805223</v>
      </c>
      <c r="E113" s="521">
        <f t="shared" ref="E113:K113" si="36">E97+E109</f>
        <v>-1.532169254616262</v>
      </c>
      <c r="F113" s="521">
        <f t="shared" si="36"/>
        <v>-24.145567604022496</v>
      </c>
      <c r="G113" s="521">
        <f t="shared" si="36"/>
        <v>17.801923051466567</v>
      </c>
      <c r="H113" s="521">
        <f t="shared" si="36"/>
        <v>7.0475474859210934</v>
      </c>
      <c r="I113" s="521">
        <f t="shared" si="36"/>
        <v>19.129772068066337</v>
      </c>
      <c r="J113" s="521">
        <f t="shared" si="36"/>
        <v>11.110609629100212</v>
      </c>
      <c r="K113" s="521">
        <f t="shared" si="36"/>
        <v>3.839925899913073</v>
      </c>
      <c r="L113" s="520">
        <f>SUM(D113:INDEX(D113:K113,0,MATCH('RFPR cover'!$C$7,$D$6:$K$6,0)))</f>
        <v>-4.7383276194316224</v>
      </c>
      <c r="M113" s="522">
        <f>SUM(D113:K113)</f>
        <v>29.341979977647998</v>
      </c>
    </row>
    <row r="114" spans="1:20">
      <c r="A114" s="35"/>
      <c r="B114" s="780" t="s">
        <v>11</v>
      </c>
      <c r="C114" s="155" t="s">
        <v>128</v>
      </c>
      <c r="D114" s="144">
        <f>SUM(D112:D113)</f>
        <v>-5.5858018545436039</v>
      </c>
      <c r="E114" s="145">
        <f t="shared" ref="E114:K114" si="37">SUM(E112:E113)</f>
        <v>-2.1888132208803741</v>
      </c>
      <c r="F114" s="145">
        <f t="shared" si="37"/>
        <v>-34.493668005746429</v>
      </c>
      <c r="G114" s="145">
        <f t="shared" si="37"/>
        <v>25.431318644952242</v>
      </c>
      <c r="H114" s="145">
        <f t="shared" si="37"/>
        <v>10.067924979887277</v>
      </c>
      <c r="I114" s="145">
        <f t="shared" si="37"/>
        <v>27.328245811523342</v>
      </c>
      <c r="J114" s="145">
        <f t="shared" si="37"/>
        <v>15.872299470143162</v>
      </c>
      <c r="K114" s="145">
        <f t="shared" si="37"/>
        <v>5.4856084284472475</v>
      </c>
      <c r="L114" s="144">
        <f>SUM(D114:INDEX(D114:K114,0,MATCH('RFPR cover'!$C$7,$D$6:$K$6,0)))</f>
        <v>-6.7690394563308907</v>
      </c>
      <c r="M114" s="146">
        <f>SUM(D114:K114)</f>
        <v>41.917114253782863</v>
      </c>
    </row>
    <row r="115" spans="1:20">
      <c r="A115" s="35"/>
      <c r="B115" s="772"/>
    </row>
    <row r="116" spans="1:20">
      <c r="A116" s="35"/>
      <c r="B116" s="775" t="str">
        <f>B38</f>
        <v>n/a</v>
      </c>
      <c r="C116" s="149"/>
      <c r="D116" s="82"/>
      <c r="E116" s="82"/>
      <c r="F116" s="82"/>
      <c r="G116" s="82"/>
      <c r="H116" s="82"/>
      <c r="I116" s="82"/>
      <c r="J116" s="82"/>
      <c r="K116" s="82"/>
      <c r="L116" s="82"/>
      <c r="M116" s="82"/>
      <c r="N116" s="82"/>
    </row>
    <row r="117" spans="1:20" s="35" customFormat="1">
      <c r="B117" s="773"/>
      <c r="C117" s="137"/>
      <c r="D117" s="319"/>
      <c r="E117" s="319"/>
      <c r="F117" s="319"/>
      <c r="G117" s="319"/>
      <c r="H117" s="319"/>
      <c r="I117" s="319"/>
      <c r="J117" s="319"/>
      <c r="K117" s="319"/>
      <c r="L117" s="319"/>
      <c r="M117" s="319"/>
      <c r="N117" s="319"/>
    </row>
    <row r="118" spans="1:20">
      <c r="A118" s="35"/>
      <c r="B118" s="304" t="s">
        <v>34</v>
      </c>
      <c r="C118" s="154" t="s">
        <v>128</v>
      </c>
      <c r="D118" s="670">
        <f t="shared" ref="D118:K119" si="38">D40*D$86</f>
        <v>0</v>
      </c>
      <c r="E118" s="670">
        <f t="shared" si="38"/>
        <v>0</v>
      </c>
      <c r="F118" s="670">
        <f t="shared" si="38"/>
        <v>0</v>
      </c>
      <c r="G118" s="670">
        <f t="shared" si="38"/>
        <v>0</v>
      </c>
      <c r="H118" s="670">
        <f t="shared" si="38"/>
        <v>0</v>
      </c>
      <c r="I118" s="670">
        <f t="shared" si="38"/>
        <v>0</v>
      </c>
      <c r="J118" s="670">
        <f t="shared" si="38"/>
        <v>0</v>
      </c>
      <c r="K118" s="670">
        <f t="shared" si="38"/>
        <v>0</v>
      </c>
      <c r="L118" s="670">
        <f>SUM(D118:INDEX(D118:K118,0,MATCH('RFPR cover'!$C$7,$D$6:$K$6,0)))</f>
        <v>0</v>
      </c>
      <c r="M118" s="671">
        <f>SUM(D118:K118)</f>
        <v>0</v>
      </c>
      <c r="N118" s="63"/>
      <c r="O118" s="63"/>
    </row>
    <row r="119" spans="1:20" ht="25.2">
      <c r="A119" s="35"/>
      <c r="B119" s="777" t="s">
        <v>197</v>
      </c>
      <c r="C119" s="154" t="s">
        <v>128</v>
      </c>
      <c r="D119" s="670">
        <f t="shared" si="38"/>
        <v>0</v>
      </c>
      <c r="E119" s="670">
        <f t="shared" si="38"/>
        <v>0</v>
      </c>
      <c r="F119" s="670">
        <f t="shared" si="38"/>
        <v>0</v>
      </c>
      <c r="G119" s="670">
        <f t="shared" si="38"/>
        <v>0</v>
      </c>
      <c r="H119" s="670">
        <f t="shared" si="38"/>
        <v>0</v>
      </c>
      <c r="I119" s="670">
        <f t="shared" si="38"/>
        <v>0</v>
      </c>
      <c r="J119" s="670">
        <f t="shared" si="38"/>
        <v>0</v>
      </c>
      <c r="K119" s="670">
        <f t="shared" si="38"/>
        <v>0</v>
      </c>
      <c r="L119" s="672">
        <f>SUM(D119:INDEX(D119:K119,0,MATCH('RFPR cover'!$C$7,$D$6:$K$6,0)))</f>
        <v>0</v>
      </c>
      <c r="M119" s="673">
        <f>SUM(D119:K119)</f>
        <v>0</v>
      </c>
      <c r="N119" s="63"/>
      <c r="O119" s="63"/>
    </row>
    <row r="120" spans="1:20">
      <c r="A120" s="35"/>
      <c r="B120" s="778" t="s">
        <v>195</v>
      </c>
      <c r="C120" s="154" t="s">
        <v>128</v>
      </c>
      <c r="D120" s="101">
        <f>D119-D118</f>
        <v>0</v>
      </c>
      <c r="E120" s="102">
        <f t="shared" ref="E120:M120" si="39">E119-E118</f>
        <v>0</v>
      </c>
      <c r="F120" s="102">
        <f t="shared" si="39"/>
        <v>0</v>
      </c>
      <c r="G120" s="102">
        <f t="shared" si="39"/>
        <v>0</v>
      </c>
      <c r="H120" s="102">
        <f t="shared" si="39"/>
        <v>0</v>
      </c>
      <c r="I120" s="102">
        <f t="shared" si="39"/>
        <v>0</v>
      </c>
      <c r="J120" s="102">
        <f t="shared" si="39"/>
        <v>0</v>
      </c>
      <c r="K120" s="102">
        <f t="shared" si="39"/>
        <v>0</v>
      </c>
      <c r="L120" s="101">
        <f t="shared" si="39"/>
        <v>0</v>
      </c>
      <c r="M120" s="103">
        <f t="shared" si="39"/>
        <v>0</v>
      </c>
      <c r="N120" s="63"/>
      <c r="O120" s="1014"/>
      <c r="P120" s="1014"/>
      <c r="Q120" s="1014"/>
      <c r="R120"/>
      <c r="S120"/>
      <c r="T120"/>
    </row>
    <row r="121" spans="1:20" ht="13.2">
      <c r="A121" s="35"/>
      <c r="B121" s="778"/>
      <c r="C121" s="154"/>
      <c r="D121" s="59"/>
      <c r="E121" s="59"/>
      <c r="F121" s="59"/>
      <c r="G121" s="59"/>
      <c r="H121" s="59"/>
      <c r="I121" s="59"/>
      <c r="J121" s="59"/>
      <c r="K121" s="59"/>
      <c r="L121" s="59"/>
      <c r="M121" s="59"/>
      <c r="O121" s="64"/>
      <c r="P121" s="64"/>
      <c r="Q121" s="64"/>
      <c r="R121"/>
      <c r="S121"/>
      <c r="T121"/>
    </row>
    <row r="122" spans="1:20">
      <c r="A122" s="35"/>
      <c r="B122" s="772" t="s">
        <v>178</v>
      </c>
      <c r="C122" s="135" t="s">
        <v>7</v>
      </c>
      <c r="D122" s="108">
        <f>1-INDEX(Data!$D$73:$D$100,MATCH('RFPR cover'!$C$5,Data!$B$73:$B$100,0),0)</f>
        <v>0.30000000000000004</v>
      </c>
      <c r="E122" s="109">
        <f>1-INDEX(Data!$D$73:$D$100,MATCH('RFPR cover'!$C$5,Data!$B$73:$B$100,0),0)</f>
        <v>0.30000000000000004</v>
      </c>
      <c r="F122" s="109">
        <f>1-INDEX(Data!$D$73:$D$100,MATCH('RFPR cover'!$C$5,Data!$B$73:$B$100,0),0)</f>
        <v>0.30000000000000004</v>
      </c>
      <c r="G122" s="109">
        <f>1-INDEX(Data!$D$73:$D$100,MATCH('RFPR cover'!$C$5,Data!$B$73:$B$100,0),0)</f>
        <v>0.30000000000000004</v>
      </c>
      <c r="H122" s="109">
        <f>1-INDEX(Data!$D$73:$D$100,MATCH('RFPR cover'!$C$5,Data!$B$73:$B$100,0),0)</f>
        <v>0.30000000000000004</v>
      </c>
      <c r="I122" s="109">
        <f>1-INDEX(Data!$D$73:$D$100,MATCH('RFPR cover'!$C$5,Data!$B$73:$B$100,0),0)</f>
        <v>0.30000000000000004</v>
      </c>
      <c r="J122" s="109">
        <f>1-INDEX(Data!$D$73:$D$100,MATCH('RFPR cover'!$C$5,Data!$B$73:$B$100,0),0)</f>
        <v>0.30000000000000004</v>
      </c>
      <c r="K122" s="110">
        <f>1-INDEX(Data!$D$73:$D$100,MATCH('RFPR cover'!$C$5,Data!$B$73:$B$100,0),0)</f>
        <v>0.30000000000000004</v>
      </c>
      <c r="L122" s="62"/>
      <c r="M122" s="62"/>
      <c r="O122"/>
      <c r="P122"/>
      <c r="Q122"/>
      <c r="R122"/>
      <c r="S122"/>
      <c r="T122"/>
    </row>
    <row r="123" spans="1:20">
      <c r="A123" s="35"/>
      <c r="B123" s="772"/>
      <c r="O123"/>
      <c r="P123"/>
      <c r="Q123"/>
      <c r="R123"/>
      <c r="S123"/>
      <c r="T123"/>
    </row>
    <row r="124" spans="1:20">
      <c r="A124" s="35"/>
      <c r="B124" s="779" t="s">
        <v>183</v>
      </c>
      <c r="C124" s="158" t="s">
        <v>128</v>
      </c>
      <c r="D124" s="94">
        <f>D120*D122</f>
        <v>0</v>
      </c>
      <c r="E124" s="95">
        <f t="shared" ref="E124:K124" si="40">E120*E122</f>
        <v>0</v>
      </c>
      <c r="F124" s="95">
        <f t="shared" si="40"/>
        <v>0</v>
      </c>
      <c r="G124" s="95">
        <f t="shared" si="40"/>
        <v>0</v>
      </c>
      <c r="H124" s="95">
        <f t="shared" si="40"/>
        <v>0</v>
      </c>
      <c r="I124" s="95">
        <f t="shared" si="40"/>
        <v>0</v>
      </c>
      <c r="J124" s="95">
        <f t="shared" si="40"/>
        <v>0</v>
      </c>
      <c r="K124" s="95">
        <f t="shared" si="40"/>
        <v>0</v>
      </c>
      <c r="L124" s="94">
        <f>SUM(D124:INDEX(D124:K124,0,MATCH('RFPR cover'!$C$7,$D$6:$K$6,0)))</f>
        <v>0</v>
      </c>
      <c r="M124" s="96">
        <f>SUM(D124:K124)</f>
        <v>0</v>
      </c>
      <c r="O124"/>
      <c r="P124"/>
      <c r="Q124"/>
      <c r="R124"/>
      <c r="S124"/>
      <c r="T124"/>
    </row>
    <row r="125" spans="1:20">
      <c r="A125" s="35"/>
      <c r="B125" s="779" t="s">
        <v>179</v>
      </c>
      <c r="C125" s="158" t="s">
        <v>128</v>
      </c>
      <c r="D125" s="91">
        <f>D120*(1-D122)</f>
        <v>0</v>
      </c>
      <c r="E125" s="92">
        <f t="shared" ref="E125:K125" si="41">E120*(1-E122)</f>
        <v>0</v>
      </c>
      <c r="F125" s="92">
        <f t="shared" si="41"/>
        <v>0</v>
      </c>
      <c r="G125" s="92">
        <f t="shared" si="41"/>
        <v>0</v>
      </c>
      <c r="H125" s="92">
        <f t="shared" si="41"/>
        <v>0</v>
      </c>
      <c r="I125" s="92">
        <f t="shared" si="41"/>
        <v>0</v>
      </c>
      <c r="J125" s="92">
        <f t="shared" si="41"/>
        <v>0</v>
      </c>
      <c r="K125" s="92">
        <f t="shared" si="41"/>
        <v>0</v>
      </c>
      <c r="L125" s="91">
        <f>SUM(D125:INDEX(D125:K125,0,MATCH('RFPR cover'!$C$7,$D$6:$K$6,0)))</f>
        <v>0</v>
      </c>
      <c r="M125" s="93">
        <f>SUM(D125:K125)</f>
        <v>0</v>
      </c>
      <c r="O125"/>
      <c r="P125"/>
      <c r="Q125"/>
      <c r="R125"/>
      <c r="S125"/>
      <c r="T125"/>
    </row>
    <row r="126" spans="1:20">
      <c r="A126" s="35"/>
      <c r="B126" s="772"/>
      <c r="O126"/>
      <c r="P126"/>
      <c r="Q126"/>
      <c r="R126"/>
      <c r="S126"/>
      <c r="T126"/>
    </row>
    <row r="127" spans="1:20">
      <c r="A127" s="35"/>
      <c r="B127" s="780" t="s">
        <v>182</v>
      </c>
      <c r="N127" s="63"/>
      <c r="O127"/>
      <c r="P127"/>
      <c r="Q127"/>
      <c r="R127"/>
      <c r="S127"/>
      <c r="T127"/>
    </row>
    <row r="128" spans="1:20">
      <c r="A128" s="268" t="s">
        <v>151</v>
      </c>
      <c r="B128" s="224" t="str">
        <f t="shared" ref="B128:B133" si="42">B50</f>
        <v>[Enduring Value adjustment]</v>
      </c>
      <c r="C128" s="154" t="s">
        <v>128</v>
      </c>
      <c r="D128" s="583">
        <f t="shared" ref="D128:K133" si="43">D50*D$86</f>
        <v>0</v>
      </c>
      <c r="E128" s="583">
        <f t="shared" si="43"/>
        <v>0</v>
      </c>
      <c r="F128" s="583">
        <f t="shared" si="43"/>
        <v>0</v>
      </c>
      <c r="G128" s="583">
        <f t="shared" si="43"/>
        <v>0</v>
      </c>
      <c r="H128" s="583">
        <f t="shared" si="43"/>
        <v>0</v>
      </c>
      <c r="I128" s="583">
        <f t="shared" si="43"/>
        <v>0</v>
      </c>
      <c r="J128" s="583">
        <f t="shared" si="43"/>
        <v>0</v>
      </c>
      <c r="K128" s="583">
        <f t="shared" si="43"/>
        <v>0</v>
      </c>
      <c r="L128" s="583">
        <f>SUM(D128:INDEX(D128:K128,0,MATCH('RFPR cover'!$C$7,$D$6:$K$6,0)))</f>
        <v>0</v>
      </c>
      <c r="M128" s="584">
        <f t="shared" ref="M128:M134" si="44">SUM(D128:K128)</f>
        <v>0</v>
      </c>
      <c r="N128" s="63"/>
      <c r="O128"/>
      <c r="P128"/>
      <c r="Q128"/>
      <c r="R128"/>
      <c r="S128"/>
      <c r="T128"/>
    </row>
    <row r="129" spans="1:20">
      <c r="A129" s="268" t="s">
        <v>152</v>
      </c>
      <c r="B129" s="224" t="str">
        <f t="shared" si="42"/>
        <v>[Enduring Value adjustment]</v>
      </c>
      <c r="C129" s="154" t="s">
        <v>128</v>
      </c>
      <c r="D129" s="583">
        <f t="shared" si="43"/>
        <v>0</v>
      </c>
      <c r="E129" s="583">
        <f t="shared" si="43"/>
        <v>0</v>
      </c>
      <c r="F129" s="583">
        <f t="shared" si="43"/>
        <v>0</v>
      </c>
      <c r="G129" s="583">
        <f t="shared" si="43"/>
        <v>0</v>
      </c>
      <c r="H129" s="583">
        <f t="shared" si="43"/>
        <v>0</v>
      </c>
      <c r="I129" s="583">
        <f t="shared" si="43"/>
        <v>0</v>
      </c>
      <c r="J129" s="583">
        <f t="shared" si="43"/>
        <v>0</v>
      </c>
      <c r="K129" s="583">
        <f t="shared" si="43"/>
        <v>0</v>
      </c>
      <c r="L129" s="587">
        <f>SUM(D129:INDEX(D129:K129,0,MATCH('RFPR cover'!$C$7,$D$6:$K$6,0)))</f>
        <v>0</v>
      </c>
      <c r="M129" s="588">
        <f t="shared" si="44"/>
        <v>0</v>
      </c>
      <c r="N129" s="63"/>
      <c r="O129"/>
      <c r="P129"/>
      <c r="Q129"/>
      <c r="R129"/>
      <c r="S129"/>
      <c r="T129"/>
    </row>
    <row r="130" spans="1:20">
      <c r="A130" s="268" t="s">
        <v>153</v>
      </c>
      <c r="B130" s="224" t="str">
        <f t="shared" si="42"/>
        <v>[Enduring Value adjustment]</v>
      </c>
      <c r="C130" s="154" t="s">
        <v>128</v>
      </c>
      <c r="D130" s="583">
        <f t="shared" si="43"/>
        <v>0</v>
      </c>
      <c r="E130" s="583">
        <f t="shared" si="43"/>
        <v>0</v>
      </c>
      <c r="F130" s="583">
        <f t="shared" si="43"/>
        <v>0</v>
      </c>
      <c r="G130" s="583">
        <f t="shared" si="43"/>
        <v>0</v>
      </c>
      <c r="H130" s="583">
        <f t="shared" si="43"/>
        <v>0</v>
      </c>
      <c r="I130" s="583">
        <f t="shared" si="43"/>
        <v>0</v>
      </c>
      <c r="J130" s="583">
        <f t="shared" si="43"/>
        <v>0</v>
      </c>
      <c r="K130" s="583">
        <f t="shared" si="43"/>
        <v>0</v>
      </c>
      <c r="L130" s="587">
        <f>SUM(D130:INDEX(D130:K130,0,MATCH('RFPR cover'!$C$7,$D$6:$K$6,0)))</f>
        <v>0</v>
      </c>
      <c r="M130" s="588">
        <f t="shared" si="44"/>
        <v>0</v>
      </c>
      <c r="N130" s="63"/>
      <c r="O130"/>
      <c r="P130"/>
      <c r="Q130"/>
      <c r="R130"/>
      <c r="S130" s="65"/>
      <c r="T130"/>
    </row>
    <row r="131" spans="1:20">
      <c r="A131" s="268" t="s">
        <v>168</v>
      </c>
      <c r="B131" s="224" t="str">
        <f t="shared" si="42"/>
        <v>[Enduring Value adjustment]</v>
      </c>
      <c r="C131" s="154" t="s">
        <v>128</v>
      </c>
      <c r="D131" s="583">
        <f t="shared" si="43"/>
        <v>0</v>
      </c>
      <c r="E131" s="583">
        <f t="shared" si="43"/>
        <v>0</v>
      </c>
      <c r="F131" s="583">
        <f t="shared" si="43"/>
        <v>0</v>
      </c>
      <c r="G131" s="583">
        <f t="shared" si="43"/>
        <v>0</v>
      </c>
      <c r="H131" s="583">
        <f t="shared" si="43"/>
        <v>0</v>
      </c>
      <c r="I131" s="583">
        <f t="shared" si="43"/>
        <v>0</v>
      </c>
      <c r="J131" s="583">
        <f t="shared" si="43"/>
        <v>0</v>
      </c>
      <c r="K131" s="583">
        <f t="shared" si="43"/>
        <v>0</v>
      </c>
      <c r="L131" s="587">
        <f>SUM(D131:INDEX(D131:K131,0,MATCH('RFPR cover'!$C$7,$D$6:$K$6,0)))</f>
        <v>0</v>
      </c>
      <c r="M131" s="588">
        <f t="shared" si="44"/>
        <v>0</v>
      </c>
      <c r="N131" s="63"/>
      <c r="O131"/>
      <c r="P131"/>
      <c r="Q131"/>
      <c r="R131"/>
      <c r="S131"/>
      <c r="T131"/>
    </row>
    <row r="132" spans="1:20">
      <c r="A132" s="268" t="s">
        <v>169</v>
      </c>
      <c r="B132" s="224" t="str">
        <f t="shared" si="42"/>
        <v>[Enduring Value adjustment]</v>
      </c>
      <c r="C132" s="154" t="s">
        <v>128</v>
      </c>
      <c r="D132" s="583">
        <f t="shared" si="43"/>
        <v>0</v>
      </c>
      <c r="E132" s="583">
        <f t="shared" si="43"/>
        <v>0</v>
      </c>
      <c r="F132" s="583">
        <f t="shared" si="43"/>
        <v>0</v>
      </c>
      <c r="G132" s="583">
        <f t="shared" si="43"/>
        <v>0</v>
      </c>
      <c r="H132" s="583">
        <f t="shared" si="43"/>
        <v>0</v>
      </c>
      <c r="I132" s="583">
        <f t="shared" si="43"/>
        <v>0</v>
      </c>
      <c r="J132" s="583">
        <f t="shared" si="43"/>
        <v>0</v>
      </c>
      <c r="K132" s="583">
        <f t="shared" si="43"/>
        <v>0</v>
      </c>
      <c r="L132" s="587">
        <f>SUM(D132:INDEX(D132:K132,0,MATCH('RFPR cover'!$C$7,$D$6:$K$6,0)))</f>
        <v>0</v>
      </c>
      <c r="M132" s="588">
        <f t="shared" si="44"/>
        <v>0</v>
      </c>
      <c r="N132" s="63"/>
      <c r="O132"/>
      <c r="P132"/>
      <c r="Q132"/>
      <c r="R132"/>
      <c r="S132"/>
      <c r="T132"/>
    </row>
    <row r="133" spans="1:20">
      <c r="A133" s="268" t="s">
        <v>170</v>
      </c>
      <c r="B133" s="224" t="str">
        <f t="shared" si="42"/>
        <v>[Enduring Value adjustment]</v>
      </c>
      <c r="C133" s="154" t="s">
        <v>128</v>
      </c>
      <c r="D133" s="583">
        <f t="shared" si="43"/>
        <v>0</v>
      </c>
      <c r="E133" s="583">
        <f t="shared" si="43"/>
        <v>0</v>
      </c>
      <c r="F133" s="583">
        <f t="shared" si="43"/>
        <v>0</v>
      </c>
      <c r="G133" s="583">
        <f t="shared" si="43"/>
        <v>0</v>
      </c>
      <c r="H133" s="583">
        <f t="shared" si="43"/>
        <v>0</v>
      </c>
      <c r="I133" s="583">
        <f t="shared" si="43"/>
        <v>0</v>
      </c>
      <c r="J133" s="583">
        <f t="shared" si="43"/>
        <v>0</v>
      </c>
      <c r="K133" s="583">
        <f t="shared" si="43"/>
        <v>0</v>
      </c>
      <c r="L133" s="591">
        <f>SUM(D133:INDEX(D133:K133,0,MATCH('RFPR cover'!$C$7,$D$6:$K$6,0)))</f>
        <v>0</v>
      </c>
      <c r="M133" s="592">
        <f t="shared" si="44"/>
        <v>0</v>
      </c>
      <c r="N133" s="63"/>
      <c r="O133"/>
      <c r="P133"/>
      <c r="Q133"/>
      <c r="R133"/>
      <c r="S133"/>
      <c r="T133"/>
    </row>
    <row r="134" spans="1:20">
      <c r="A134" s="35"/>
      <c r="B134" s="780" t="s">
        <v>190</v>
      </c>
      <c r="C134" s="154" t="s">
        <v>128</v>
      </c>
      <c r="D134" s="101">
        <f>SUM(D128:D133)</f>
        <v>0</v>
      </c>
      <c r="E134" s="102">
        <f t="shared" ref="E134:K134" si="45">SUM(E128:E133)</f>
        <v>0</v>
      </c>
      <c r="F134" s="102">
        <f t="shared" si="45"/>
        <v>0</v>
      </c>
      <c r="G134" s="102">
        <f t="shared" si="45"/>
        <v>0</v>
      </c>
      <c r="H134" s="102">
        <f t="shared" si="45"/>
        <v>0</v>
      </c>
      <c r="I134" s="102">
        <f t="shared" si="45"/>
        <v>0</v>
      </c>
      <c r="J134" s="102">
        <f t="shared" si="45"/>
        <v>0</v>
      </c>
      <c r="K134" s="102">
        <f t="shared" si="45"/>
        <v>0</v>
      </c>
      <c r="L134" s="101">
        <f>SUM(D134:INDEX(D134:K134,0,MATCH('RFPR cover'!$C$7,$D$6:$K$6,0)))</f>
        <v>0</v>
      </c>
      <c r="M134" s="103">
        <f t="shared" si="44"/>
        <v>0</v>
      </c>
      <c r="N134" s="63"/>
    </row>
    <row r="135" spans="1:20">
      <c r="A135" s="35"/>
      <c r="B135" s="772"/>
    </row>
    <row r="136" spans="1:20">
      <c r="A136" s="35"/>
      <c r="B136" s="779" t="s">
        <v>198</v>
      </c>
      <c r="C136" s="158" t="s">
        <v>128</v>
      </c>
      <c r="D136" s="94">
        <f t="shared" ref="D136:K136" si="46">D134*D122</f>
        <v>0</v>
      </c>
      <c r="E136" s="95">
        <f t="shared" si="46"/>
        <v>0</v>
      </c>
      <c r="F136" s="95">
        <f t="shared" si="46"/>
        <v>0</v>
      </c>
      <c r="G136" s="95">
        <f t="shared" si="46"/>
        <v>0</v>
      </c>
      <c r="H136" s="95">
        <f t="shared" si="46"/>
        <v>0</v>
      </c>
      <c r="I136" s="95">
        <f t="shared" si="46"/>
        <v>0</v>
      </c>
      <c r="J136" s="95">
        <f t="shared" si="46"/>
        <v>0</v>
      </c>
      <c r="K136" s="95">
        <f t="shared" si="46"/>
        <v>0</v>
      </c>
      <c r="L136" s="94">
        <f>SUM(D136:INDEX(D136:K136,0,MATCH('RFPR cover'!$C$7,$D$6:$K$6,0)))</f>
        <v>0</v>
      </c>
      <c r="M136" s="96">
        <f>SUM(D136:K136)</f>
        <v>0</v>
      </c>
    </row>
    <row r="137" spans="1:20">
      <c r="A137" s="35"/>
      <c r="B137" s="779" t="s">
        <v>309</v>
      </c>
      <c r="C137" s="158" t="s">
        <v>128</v>
      </c>
      <c r="D137" s="91">
        <f t="shared" ref="D137:K137" si="47">D134*(1-D122)</f>
        <v>0</v>
      </c>
      <c r="E137" s="92">
        <f t="shared" si="47"/>
        <v>0</v>
      </c>
      <c r="F137" s="92">
        <f t="shared" si="47"/>
        <v>0</v>
      </c>
      <c r="G137" s="92">
        <f t="shared" si="47"/>
        <v>0</v>
      </c>
      <c r="H137" s="92">
        <f t="shared" si="47"/>
        <v>0</v>
      </c>
      <c r="I137" s="92">
        <f t="shared" si="47"/>
        <v>0</v>
      </c>
      <c r="J137" s="92">
        <f t="shared" si="47"/>
        <v>0</v>
      </c>
      <c r="K137" s="92">
        <f t="shared" si="47"/>
        <v>0</v>
      </c>
      <c r="L137" s="91">
        <f>SUM(D137:INDEX(D137:K137,0,MATCH('RFPR cover'!$C$7,$D$6:$K$6,0)))</f>
        <v>0</v>
      </c>
      <c r="M137" s="93">
        <f>SUM(D137:K137)</f>
        <v>0</v>
      </c>
    </row>
    <row r="138" spans="1:20">
      <c r="A138" s="35"/>
      <c r="B138" s="772"/>
    </row>
    <row r="139" spans="1:20">
      <c r="A139" s="35"/>
      <c r="B139" s="780" t="s">
        <v>181</v>
      </c>
    </row>
    <row r="140" spans="1:20">
      <c r="A140" s="35"/>
      <c r="B140" s="772" t="s">
        <v>180</v>
      </c>
      <c r="C140" s="154" t="s">
        <v>128</v>
      </c>
      <c r="D140" s="94">
        <f>D124+D136</f>
        <v>0</v>
      </c>
      <c r="E140" s="95">
        <f t="shared" ref="E140:K140" si="48">E124+E136</f>
        <v>0</v>
      </c>
      <c r="F140" s="95">
        <f t="shared" si="48"/>
        <v>0</v>
      </c>
      <c r="G140" s="95">
        <f t="shared" si="48"/>
        <v>0</v>
      </c>
      <c r="H140" s="95">
        <f t="shared" si="48"/>
        <v>0</v>
      </c>
      <c r="I140" s="95">
        <f t="shared" si="48"/>
        <v>0</v>
      </c>
      <c r="J140" s="95">
        <f t="shared" si="48"/>
        <v>0</v>
      </c>
      <c r="K140" s="95">
        <f t="shared" si="48"/>
        <v>0</v>
      </c>
      <c r="L140" s="94">
        <f>SUM(D140:INDEX(D140:K140,0,MATCH('RFPR cover'!$C$7,$D$6:$K$6,0)))</f>
        <v>0</v>
      </c>
      <c r="M140" s="96">
        <f>SUM(D140:K140)</f>
        <v>0</v>
      </c>
    </row>
    <row r="141" spans="1:20">
      <c r="A141" s="35"/>
      <c r="B141" s="772" t="s">
        <v>280</v>
      </c>
      <c r="C141" s="154" t="s">
        <v>128</v>
      </c>
      <c r="D141" s="97">
        <f>D125+D137</f>
        <v>0</v>
      </c>
      <c r="E141" s="98">
        <f t="shared" ref="E141:K141" si="49">E125+E137</f>
        <v>0</v>
      </c>
      <c r="F141" s="98">
        <f t="shared" si="49"/>
        <v>0</v>
      </c>
      <c r="G141" s="98">
        <f t="shared" si="49"/>
        <v>0</v>
      </c>
      <c r="H141" s="98">
        <f t="shared" si="49"/>
        <v>0</v>
      </c>
      <c r="I141" s="98">
        <f t="shared" si="49"/>
        <v>0</v>
      </c>
      <c r="J141" s="98">
        <f t="shared" si="49"/>
        <v>0</v>
      </c>
      <c r="K141" s="98">
        <f t="shared" si="49"/>
        <v>0</v>
      </c>
      <c r="L141" s="97">
        <f>SUM(D141:INDEX(D141:K141,0,MATCH('RFPR cover'!$C$7,$D$6:$K$6,0)))</f>
        <v>0</v>
      </c>
      <c r="M141" s="99">
        <f>SUM(D141:K141)</f>
        <v>0</v>
      </c>
    </row>
    <row r="142" spans="1:20">
      <c r="A142" s="35"/>
      <c r="B142" s="780" t="s">
        <v>11</v>
      </c>
      <c r="C142" s="155" t="s">
        <v>128</v>
      </c>
      <c r="D142" s="138">
        <f>SUM(D140:D141)</f>
        <v>0</v>
      </c>
      <c r="E142" s="139">
        <f t="shared" ref="E142:K142" si="50">SUM(E140:E141)</f>
        <v>0</v>
      </c>
      <c r="F142" s="139">
        <f t="shared" si="50"/>
        <v>0</v>
      </c>
      <c r="G142" s="139">
        <f t="shared" si="50"/>
        <v>0</v>
      </c>
      <c r="H142" s="139">
        <f t="shared" si="50"/>
        <v>0</v>
      </c>
      <c r="I142" s="139">
        <f t="shared" si="50"/>
        <v>0</v>
      </c>
      <c r="J142" s="139">
        <f t="shared" si="50"/>
        <v>0</v>
      </c>
      <c r="K142" s="139">
        <f t="shared" si="50"/>
        <v>0</v>
      </c>
      <c r="L142" s="138">
        <f>SUM(D142:INDEX(D142:K142,0,MATCH('RFPR cover'!$C$7,$D$6:$K$6,0)))</f>
        <v>0</v>
      </c>
      <c r="M142" s="140">
        <f>SUM(D142:K142)</f>
        <v>0</v>
      </c>
    </row>
    <row r="143" spans="1:20">
      <c r="A143" s="35"/>
      <c r="B143" s="780"/>
      <c r="C143" s="155"/>
      <c r="D143" s="155"/>
      <c r="E143" s="155"/>
      <c r="F143" s="155"/>
      <c r="G143" s="155"/>
      <c r="H143" s="155"/>
      <c r="I143" s="155"/>
      <c r="J143" s="155"/>
      <c r="K143" s="155"/>
      <c r="L143" s="155"/>
      <c r="M143" s="155"/>
    </row>
    <row r="144" spans="1:20">
      <c r="A144" s="35"/>
      <c r="B144" s="775" t="s">
        <v>257</v>
      </c>
      <c r="C144" s="149"/>
      <c r="D144" s="82"/>
      <c r="E144" s="82"/>
      <c r="F144" s="82"/>
      <c r="G144" s="82"/>
      <c r="H144" s="82"/>
      <c r="I144" s="82"/>
      <c r="J144" s="82"/>
      <c r="K144" s="82"/>
      <c r="L144" s="82"/>
      <c r="M144" s="82"/>
      <c r="N144" s="82"/>
    </row>
    <row r="145" spans="1:20">
      <c r="A145" s="35"/>
      <c r="B145" s="772"/>
      <c r="O145"/>
      <c r="P145"/>
      <c r="Q145"/>
      <c r="R145"/>
      <c r="S145"/>
      <c r="T145"/>
    </row>
    <row r="146" spans="1:20">
      <c r="A146" s="35"/>
      <c r="B146" s="780" t="s">
        <v>181</v>
      </c>
    </row>
    <row r="147" spans="1:20">
      <c r="A147" s="35"/>
      <c r="B147" s="772" t="s">
        <v>180</v>
      </c>
      <c r="C147" s="154" t="s">
        <v>128</v>
      </c>
      <c r="D147" s="94">
        <f>D112+D140</f>
        <v>-1.6757405563630814</v>
      </c>
      <c r="E147" s="95">
        <f t="shared" ref="E147:K147" si="51">E112+E140</f>
        <v>-0.65664396626411214</v>
      </c>
      <c r="F147" s="95">
        <f t="shared" si="51"/>
        <v>-10.348100401723929</v>
      </c>
      <c r="G147" s="95">
        <f t="shared" si="51"/>
        <v>7.6293955934856736</v>
      </c>
      <c r="H147" s="95">
        <f t="shared" si="51"/>
        <v>3.0203774939661834</v>
      </c>
      <c r="I147" s="95">
        <f t="shared" si="51"/>
        <v>8.1984737434570043</v>
      </c>
      <c r="J147" s="95">
        <f t="shared" si="51"/>
        <v>4.7616898410429496</v>
      </c>
      <c r="K147" s="95">
        <f t="shared" si="51"/>
        <v>1.6456825285341747</v>
      </c>
      <c r="L147" s="94">
        <f>SUM(D147:INDEX(D147:K147,0,MATCH('RFPR cover'!$C$7,$D$6:$K$6,0)))</f>
        <v>-2.0307118368992665</v>
      </c>
      <c r="M147" s="96">
        <f>SUM(D147:K147)</f>
        <v>12.575134276134863</v>
      </c>
    </row>
    <row r="148" spans="1:20">
      <c r="A148" s="35"/>
      <c r="B148" s="772" t="s">
        <v>280</v>
      </c>
      <c r="C148" s="154" t="s">
        <v>128</v>
      </c>
      <c r="D148" s="97">
        <f t="shared" ref="D148:K148" si="52">D113+D141</f>
        <v>-3.9100612981805223</v>
      </c>
      <c r="E148" s="98">
        <f t="shared" si="52"/>
        <v>-1.532169254616262</v>
      </c>
      <c r="F148" s="98">
        <f t="shared" si="52"/>
        <v>-24.145567604022496</v>
      </c>
      <c r="G148" s="98">
        <f t="shared" si="52"/>
        <v>17.801923051466567</v>
      </c>
      <c r="H148" s="98">
        <f t="shared" si="52"/>
        <v>7.0475474859210934</v>
      </c>
      <c r="I148" s="98">
        <f t="shared" si="52"/>
        <v>19.129772068066337</v>
      </c>
      <c r="J148" s="98">
        <f t="shared" si="52"/>
        <v>11.110609629100212</v>
      </c>
      <c r="K148" s="98">
        <f t="shared" si="52"/>
        <v>3.839925899913073</v>
      </c>
      <c r="L148" s="97">
        <f>SUM(D148:INDEX(D148:K148,0,MATCH('RFPR cover'!$C$7,$D$6:$K$6,0)))</f>
        <v>-4.7383276194316224</v>
      </c>
      <c r="M148" s="99">
        <f>SUM(D148:K148)</f>
        <v>29.341979977647998</v>
      </c>
    </row>
    <row r="149" spans="1:20">
      <c r="A149" s="35"/>
      <c r="B149" s="780" t="s">
        <v>11</v>
      </c>
      <c r="C149" s="155" t="s">
        <v>128</v>
      </c>
      <c r="D149" s="138">
        <f>SUM(D147:D148)</f>
        <v>-5.5858018545436039</v>
      </c>
      <c r="E149" s="139">
        <f t="shared" ref="E149:K149" si="53">SUM(E147:E148)</f>
        <v>-2.1888132208803741</v>
      </c>
      <c r="F149" s="139">
        <f t="shared" si="53"/>
        <v>-34.493668005746429</v>
      </c>
      <c r="G149" s="139">
        <f t="shared" si="53"/>
        <v>25.431318644952242</v>
      </c>
      <c r="H149" s="139">
        <f t="shared" si="53"/>
        <v>10.067924979887277</v>
      </c>
      <c r="I149" s="139">
        <f t="shared" si="53"/>
        <v>27.328245811523342</v>
      </c>
      <c r="J149" s="139">
        <f t="shared" si="53"/>
        <v>15.872299470143162</v>
      </c>
      <c r="K149" s="139">
        <f t="shared" si="53"/>
        <v>5.4856084284472475</v>
      </c>
      <c r="L149" s="138">
        <f>SUM(D149:INDEX(D149:K149,0,MATCH('RFPR cover'!$C$7,$D$6:$K$6,0)))</f>
        <v>-6.7690394563308907</v>
      </c>
      <c r="M149" s="140">
        <f>SUM(D149:K149)</f>
        <v>41.917114253782863</v>
      </c>
    </row>
    <row r="150" spans="1:20">
      <c r="A150" s="35"/>
      <c r="B150" s="779"/>
      <c r="D150" s="135"/>
      <c r="E150" s="135"/>
      <c r="F150" s="135"/>
      <c r="G150" s="135"/>
      <c r="H150" s="135"/>
      <c r="I150" s="135"/>
      <c r="J150" s="135"/>
      <c r="K150" s="135"/>
    </row>
    <row r="151" spans="1:20">
      <c r="A151" s="35"/>
      <c r="B151" s="772"/>
    </row>
    <row r="152" spans="1:20">
      <c r="A152" s="82"/>
      <c r="B152" s="771"/>
      <c r="C152" s="149"/>
      <c r="D152" s="82"/>
      <c r="E152" s="82"/>
      <c r="F152" s="82"/>
      <c r="G152" s="82"/>
      <c r="H152" s="82"/>
      <c r="I152" s="82"/>
      <c r="J152" s="82"/>
      <c r="K152" s="82"/>
      <c r="L152" s="82"/>
      <c r="M152" s="82"/>
      <c r="N152" s="82"/>
    </row>
    <row r="153" spans="1:20">
      <c r="B153" s="772"/>
    </row>
    <row r="154" spans="1:20">
      <c r="B154" s="772"/>
    </row>
  </sheetData>
  <mergeCells count="4">
    <mergeCell ref="O14:Q14"/>
    <mergeCell ref="O42:Q42"/>
    <mergeCell ref="O92:Q92"/>
    <mergeCell ref="O120:Q120"/>
  </mergeCells>
  <conditionalFormatting sqref="D6:K6">
    <cfRule type="expression" dxfId="56" priority="7">
      <formula>AND(D$5="Actuals",E$5="Forecast")</formula>
    </cfRule>
  </conditionalFormatting>
  <conditionalFormatting sqref="B118:M142">
    <cfRule type="expression" dxfId="55" priority="3">
      <formula>$B$38="n/a"</formula>
    </cfRule>
  </conditionalFormatting>
  <conditionalFormatting sqref="D5:K5">
    <cfRule type="expression" dxfId="54" priority="2">
      <formula>AND(D$5="Actuals",E$5="Forecast")</formula>
    </cfRule>
  </conditionalFormatting>
  <conditionalFormatting sqref="B38:N64">
    <cfRule type="expression" dxfId="53"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P114"/>
  <sheetViews>
    <sheetView showGridLines="0" zoomScale="70" zoomScaleNormal="70" workbookViewId="0">
      <pane ySplit="6" topLeftCell="A7" activePane="bottomLeft" state="frozen"/>
      <selection activeCell="B75" sqref="A1:XFD1048576"/>
      <selection pane="bottomLeft" activeCell="H6" sqref="H6"/>
    </sheetView>
  </sheetViews>
  <sheetFormatPr defaultRowHeight="12.6"/>
  <cols>
    <col min="1" max="1" width="8.36328125" customWidth="1"/>
    <col min="2" max="2" width="71.36328125" bestFit="1" customWidth="1"/>
    <col min="3" max="3" width="13.36328125" style="135" customWidth="1"/>
    <col min="4" max="11" width="11.08984375" customWidth="1"/>
    <col min="12" max="12" width="12.90625" customWidth="1"/>
    <col min="13" max="13" width="12.7265625" customWidth="1"/>
    <col min="14" max="14" width="5" customWidth="1"/>
  </cols>
  <sheetData>
    <row r="1" spans="1:14" s="37" customFormat="1" ht="21">
      <c r="A1" s="928" t="s">
        <v>262</v>
      </c>
      <c r="B1" s="929"/>
      <c r="C1" s="152"/>
      <c r="D1" s="130"/>
      <c r="E1" s="130"/>
      <c r="F1" s="130"/>
      <c r="G1" s="130"/>
      <c r="H1" s="130"/>
      <c r="I1" s="126"/>
      <c r="J1" s="126"/>
      <c r="K1" s="126"/>
      <c r="L1" s="126"/>
      <c r="M1" s="126"/>
      <c r="N1" s="127"/>
    </row>
    <row r="2" spans="1:14" s="37" customFormat="1" ht="21">
      <c r="A2" s="930" t="str">
        <f>'RFPR cover'!C5</f>
        <v>WPD-EMID</v>
      </c>
      <c r="B2" s="931"/>
      <c r="C2" s="153"/>
      <c r="D2" s="36"/>
      <c r="E2" s="36"/>
      <c r="F2" s="36"/>
      <c r="G2" s="36"/>
      <c r="H2" s="36"/>
      <c r="I2" s="27"/>
      <c r="J2" s="27"/>
      <c r="K2" s="27"/>
      <c r="L2" s="27"/>
      <c r="M2" s="27"/>
      <c r="N2" s="122"/>
    </row>
    <row r="3" spans="1:14" s="37" customFormat="1" ht="21">
      <c r="A3" s="932">
        <f>'RFPR cover'!C7</f>
        <v>2020</v>
      </c>
      <c r="B3" s="933"/>
      <c r="C3" s="134"/>
      <c r="D3" s="131"/>
      <c r="E3" s="131"/>
      <c r="F3" s="131"/>
      <c r="G3" s="131"/>
      <c r="H3" s="131"/>
      <c r="I3" s="28"/>
      <c r="J3" s="28"/>
      <c r="K3" s="28"/>
      <c r="L3" s="28"/>
      <c r="M3" s="28"/>
      <c r="N3" s="124"/>
    </row>
    <row r="4" spans="1:14" s="2" customFormat="1" ht="12.75" customHeight="1">
      <c r="B4" s="3"/>
      <c r="C4" s="135"/>
    </row>
    <row r="5" spans="1:14" s="2" customFormat="1" ht="12.75" customHeight="1">
      <c r="B5" s="3"/>
      <c r="C5" s="135"/>
      <c r="D5" s="388" t="str">
        <f>IF(D6&lt;='RFPR cover'!$C$7,"Actuals","Forecast")</f>
        <v>Actuals</v>
      </c>
      <c r="E5" s="389" t="str">
        <f>IF(E6&lt;='RFPR cover'!$C$7,"Actuals","Forecast")</f>
        <v>Actuals</v>
      </c>
      <c r="F5" s="389" t="str">
        <f>IF(F6&lt;='RFPR cover'!$C$7,"Actuals","Forecast")</f>
        <v>Actuals</v>
      </c>
      <c r="G5" s="389" t="str">
        <f>IF(G6&lt;='RFPR cover'!$C$7,"Actuals","Forecast")</f>
        <v>Actuals</v>
      </c>
      <c r="H5" s="389" t="str">
        <f>IF(H6&lt;='RFPR cover'!$C$7,"Actuals","Forecast")</f>
        <v>Actuals</v>
      </c>
      <c r="I5" s="389" t="str">
        <f>IF(I6&lt;='RFPR cover'!$C$7,"Actuals","Forecast")</f>
        <v>Forecast</v>
      </c>
      <c r="J5" s="389" t="str">
        <f>IF(J6&lt;='RFPR cover'!$C$7,"Actuals","Forecast")</f>
        <v>Forecast</v>
      </c>
      <c r="K5" s="390" t="str">
        <f>IF(K6&lt;='RFPR cover'!$C$7,"Actuals","Forecast")</f>
        <v>Forecast</v>
      </c>
    </row>
    <row r="6" spans="1:14" s="2" customFormat="1" ht="29.25" customHeight="1">
      <c r="C6" s="135"/>
      <c r="D6" s="116">
        <f>'RFPR cover'!$C$13</f>
        <v>2016</v>
      </c>
      <c r="E6" s="117">
        <f>D6+1</f>
        <v>2017</v>
      </c>
      <c r="F6" s="117">
        <f t="shared" ref="F6:K6" si="0">E6+1</f>
        <v>2018</v>
      </c>
      <c r="G6" s="117">
        <f t="shared" si="0"/>
        <v>2019</v>
      </c>
      <c r="H6" s="117">
        <f t="shared" si="0"/>
        <v>2020</v>
      </c>
      <c r="I6" s="117">
        <f t="shared" si="0"/>
        <v>2021</v>
      </c>
      <c r="J6" s="117">
        <f t="shared" si="0"/>
        <v>2022</v>
      </c>
      <c r="K6" s="117">
        <f t="shared" si="0"/>
        <v>2023</v>
      </c>
      <c r="L6" s="100" t="str">
        <f>"Cumulative to "&amp;'RFPR cover'!$C$7</f>
        <v>Cumulative to 2020</v>
      </c>
      <c r="M6" s="118" t="s">
        <v>109</v>
      </c>
    </row>
    <row r="7" spans="1:14" s="2" customFormat="1">
      <c r="A7" s="35"/>
      <c r="C7" s="135"/>
    </row>
    <row r="8" spans="1:14" s="2" customFormat="1">
      <c r="A8" s="35"/>
      <c r="B8" s="115" t="s">
        <v>199</v>
      </c>
      <c r="C8" s="149"/>
      <c r="D8" s="81"/>
      <c r="E8" s="81"/>
      <c r="F8" s="81"/>
      <c r="G8" s="81"/>
      <c r="H8" s="81"/>
      <c r="I8" s="81"/>
      <c r="J8" s="81"/>
      <c r="K8" s="81"/>
      <c r="L8" s="81"/>
      <c r="M8" s="81"/>
      <c r="N8" s="81"/>
    </row>
    <row r="9" spans="1:14" s="2" customFormat="1">
      <c r="A9" s="35"/>
      <c r="B9" s="366" t="s">
        <v>391</v>
      </c>
      <c r="C9" s="366"/>
      <c r="D9" s="366"/>
      <c r="E9" s="366"/>
      <c r="F9" s="366"/>
      <c r="G9" s="366"/>
      <c r="H9" s="366"/>
      <c r="I9" s="366"/>
      <c r="J9" s="366"/>
      <c r="K9" s="366"/>
      <c r="L9" s="366"/>
      <c r="M9" s="366"/>
      <c r="N9" s="366"/>
    </row>
    <row r="10" spans="1:14" s="2" customFormat="1">
      <c r="A10" s="35"/>
      <c r="B10" s="12"/>
      <c r="C10" s="135"/>
    </row>
    <row r="11" spans="1:14" s="2" customFormat="1">
      <c r="A11" s="223" t="s">
        <v>151</v>
      </c>
      <c r="B11" s="35" t="str">
        <f>Data!B153</f>
        <v>Broad measure of customer service</v>
      </c>
      <c r="C11" s="154" t="str">
        <f>'RFPR cover'!$C$14</f>
        <v>£m 12/13</v>
      </c>
      <c r="D11" s="593">
        <v>5.557900000000001</v>
      </c>
      <c r="E11" s="594">
        <v>5.4398</v>
      </c>
      <c r="F11" s="594">
        <v>5.5037321234432266</v>
      </c>
      <c r="G11" s="594">
        <v>5.6283200000000022</v>
      </c>
      <c r="H11" s="594">
        <v>5.8166666666666664</v>
      </c>
      <c r="I11" s="594">
        <v>5.8166666666666664</v>
      </c>
      <c r="J11" s="594">
        <v>5.8166666666666664</v>
      </c>
      <c r="K11" s="594">
        <v>5.8166666666666664</v>
      </c>
      <c r="L11" s="670">
        <f>SUM(D11:INDEX(D11:K11,0,MATCH('RFPR cover'!$C$7,$D$6:$K$6,0)))</f>
        <v>27.946418790109899</v>
      </c>
      <c r="M11" s="671">
        <f t="shared" ref="M11:M17" si="1">SUM(D11:K11)</f>
        <v>45.396418790109891</v>
      </c>
    </row>
    <row r="12" spans="1:14" s="2" customFormat="1">
      <c r="A12" s="223" t="s">
        <v>152</v>
      </c>
      <c r="B12" s="35" t="str">
        <f>Data!B154</f>
        <v>Interruptions-related quality of service</v>
      </c>
      <c r="C12" s="154" t="str">
        <f>'RFPR cover'!$C$14</f>
        <v>£m 12/13</v>
      </c>
      <c r="D12" s="595">
        <v>17.100000000000001</v>
      </c>
      <c r="E12" s="596">
        <v>17.100000000000001</v>
      </c>
      <c r="F12" s="596">
        <v>14.162494928384536</v>
      </c>
      <c r="G12" s="596">
        <v>16.804320987654314</v>
      </c>
      <c r="H12" s="596">
        <v>16.998246913580246</v>
      </c>
      <c r="I12" s="596">
        <v>14.339407365518419</v>
      </c>
      <c r="J12" s="596">
        <v>13.671382674160395</v>
      </c>
      <c r="K12" s="596">
        <v>12.9687900815678</v>
      </c>
      <c r="L12" s="674">
        <f>SUM(D12:INDEX(D12:K12,0,MATCH('RFPR cover'!$C$7,$D$6:$K$6,0)))</f>
        <v>82.165062829619089</v>
      </c>
      <c r="M12" s="675">
        <f t="shared" si="1"/>
        <v>123.14464295086572</v>
      </c>
    </row>
    <row r="13" spans="1:14" s="2" customFormat="1">
      <c r="A13" s="223" t="s">
        <v>153</v>
      </c>
      <c r="B13" s="35" t="str">
        <f>Data!B155</f>
        <v>Incentive on connections engagement</v>
      </c>
      <c r="C13" s="154" t="str">
        <f>'RFPR cover'!$C$14</f>
        <v>£m 12/13</v>
      </c>
      <c r="D13" s="595">
        <v>0</v>
      </c>
      <c r="E13" s="596">
        <v>0</v>
      </c>
      <c r="F13" s="596">
        <v>0</v>
      </c>
      <c r="G13" s="596">
        <v>0</v>
      </c>
      <c r="H13" s="596">
        <v>0</v>
      </c>
      <c r="I13" s="596">
        <v>0</v>
      </c>
      <c r="J13" s="596">
        <v>0</v>
      </c>
      <c r="K13" s="596">
        <v>0</v>
      </c>
      <c r="L13" s="674">
        <f>SUM(D13:INDEX(D13:K13,0,MATCH('RFPR cover'!$C$7,$D$6:$K$6,0)))</f>
        <v>0</v>
      </c>
      <c r="M13" s="675">
        <f t="shared" si="1"/>
        <v>0</v>
      </c>
    </row>
    <row r="14" spans="1:14" s="2" customFormat="1">
      <c r="A14" s="223" t="s">
        <v>168</v>
      </c>
      <c r="B14" s="35" t="str">
        <f>Data!B156</f>
        <v>Time to Connect Incentive</v>
      </c>
      <c r="C14" s="154" t="str">
        <f>'RFPR cover'!$C$14</f>
        <v>£m 12/13</v>
      </c>
      <c r="D14" s="595">
        <v>1.5435000000000005</v>
      </c>
      <c r="E14" s="596">
        <v>1.3147285263061528</v>
      </c>
      <c r="F14" s="596">
        <v>1.6000000000000003</v>
      </c>
      <c r="G14" s="596">
        <v>1.6</v>
      </c>
      <c r="H14" s="596">
        <v>1.5888294927032462</v>
      </c>
      <c r="I14" s="596">
        <v>1.5268817868540445</v>
      </c>
      <c r="J14" s="596">
        <v>1.5268817868540445</v>
      </c>
      <c r="K14" s="596">
        <v>1.5268817868540445</v>
      </c>
      <c r="L14" s="674">
        <f>SUM(D14:INDEX(D14:K14,0,MATCH('RFPR cover'!$C$7,$D$6:$K$6,0)))</f>
        <v>7.6470580190093997</v>
      </c>
      <c r="M14" s="675">
        <f t="shared" si="1"/>
        <v>12.227703379571533</v>
      </c>
    </row>
    <row r="15" spans="1:14" s="2" customFormat="1">
      <c r="A15" s="223" t="s">
        <v>169</v>
      </c>
      <c r="B15" s="35" t="str">
        <f>Data!B157</f>
        <v>Losses discretionary reward scheme</v>
      </c>
      <c r="C15" s="154" t="str">
        <f>'RFPR cover'!$C$14</f>
        <v>£m 12/13</v>
      </c>
      <c r="D15" s="595">
        <v>0</v>
      </c>
      <c r="E15" s="596">
        <v>0.04</v>
      </c>
      <c r="F15" s="596">
        <v>0</v>
      </c>
      <c r="G15" s="596">
        <v>0</v>
      </c>
      <c r="H15" s="596">
        <v>0</v>
      </c>
      <c r="I15" s="596">
        <v>0</v>
      </c>
      <c r="J15" s="596">
        <v>0</v>
      </c>
      <c r="K15" s="596">
        <v>0</v>
      </c>
      <c r="L15" s="674">
        <f>SUM(D15:INDEX(D15:K15,0,MATCH('RFPR cover'!$C$7,$D$6:$K$6,0)))</f>
        <v>0.04</v>
      </c>
      <c r="M15" s="675">
        <f t="shared" si="1"/>
        <v>0.04</v>
      </c>
    </row>
    <row r="16" spans="1:14" s="2" customFormat="1">
      <c r="A16" s="223" t="s">
        <v>170</v>
      </c>
      <c r="B16" s="35" t="str">
        <f>Data!B158</f>
        <v/>
      </c>
      <c r="C16" s="154" t="str">
        <f>'RFPR cover'!$C$14</f>
        <v>£m 12/13</v>
      </c>
      <c r="D16" s="595"/>
      <c r="E16" s="596"/>
      <c r="F16" s="596"/>
      <c r="G16" s="596"/>
      <c r="H16" s="596"/>
      <c r="I16" s="596"/>
      <c r="J16" s="596"/>
      <c r="K16" s="596"/>
      <c r="L16" s="674">
        <f>SUM(D16:INDEX(D16:K16,0,MATCH('RFPR cover'!$C$7,$D$6:$K$6,0)))</f>
        <v>0</v>
      </c>
      <c r="M16" s="675">
        <f t="shared" si="1"/>
        <v>0</v>
      </c>
    </row>
    <row r="17" spans="1:16" s="2" customFormat="1">
      <c r="A17" s="223" t="s">
        <v>479</v>
      </c>
      <c r="B17" s="35" t="str">
        <f>Data!B159</f>
        <v/>
      </c>
      <c r="C17" s="154" t="str">
        <f>'RFPR cover'!$C$14</f>
        <v>£m 12/13</v>
      </c>
      <c r="D17" s="847"/>
      <c r="E17" s="848"/>
      <c r="F17" s="848"/>
      <c r="G17" s="848"/>
      <c r="H17" s="848"/>
      <c r="I17" s="848"/>
      <c r="J17" s="848"/>
      <c r="K17" s="849"/>
      <c r="L17" s="674">
        <f>SUM(D17:INDEX(D17:K17,0,MATCH('RFPR cover'!$C$7,$D$6:$K$6,0)))</f>
        <v>0</v>
      </c>
      <c r="M17" s="675">
        <f t="shared" si="1"/>
        <v>0</v>
      </c>
    </row>
    <row r="18" spans="1:16" s="2" customFormat="1">
      <c r="A18" s="35"/>
      <c r="B18" s="12" t="s">
        <v>203</v>
      </c>
      <c r="C18" s="155" t="str">
        <f>'RFPR cover'!$C$14</f>
        <v>£m 12/13</v>
      </c>
      <c r="D18" s="609">
        <f>SUM(D11:D17)</f>
        <v>24.201400000000003</v>
      </c>
      <c r="E18" s="609">
        <f t="shared" ref="E18:K18" si="2">SUM(E11:E17)</f>
        <v>23.89452852630615</v>
      </c>
      <c r="F18" s="609">
        <f t="shared" si="2"/>
        <v>21.266227051827762</v>
      </c>
      <c r="G18" s="609">
        <f t="shared" si="2"/>
        <v>24.032640987654318</v>
      </c>
      <c r="H18" s="609">
        <f t="shared" si="2"/>
        <v>24.40374307295016</v>
      </c>
      <c r="I18" s="609">
        <f t="shared" si="2"/>
        <v>21.68295581903913</v>
      </c>
      <c r="J18" s="609">
        <f t="shared" si="2"/>
        <v>21.014931127681105</v>
      </c>
      <c r="K18" s="609">
        <f t="shared" si="2"/>
        <v>20.312338535088511</v>
      </c>
      <c r="L18" s="609">
        <f>SUM(L11:L17)</f>
        <v>117.7985396387384</v>
      </c>
      <c r="M18" s="609">
        <f>SUM(M11:M17)</f>
        <v>180.80876512054712</v>
      </c>
    </row>
    <row r="19" spans="1:16" s="2" customFormat="1">
      <c r="A19" s="35"/>
      <c r="B19" s="12"/>
      <c r="C19" s="155"/>
      <c r="D19" s="155"/>
      <c r="E19" s="155"/>
      <c r="F19" s="155"/>
      <c r="G19" s="155"/>
      <c r="H19" s="155"/>
      <c r="I19" s="155"/>
      <c r="J19" s="155"/>
      <c r="K19" s="155"/>
      <c r="L19" s="155"/>
      <c r="M19" s="155"/>
    </row>
    <row r="20" spans="1:16" s="2" customFormat="1">
      <c r="A20" s="35"/>
      <c r="B20" s="12" t="s">
        <v>373</v>
      </c>
      <c r="C20" s="155"/>
      <c r="D20" s="155"/>
      <c r="E20" s="155"/>
      <c r="F20" s="155"/>
      <c r="G20" s="155"/>
      <c r="H20" s="155"/>
      <c r="I20" s="155"/>
      <c r="J20" s="155"/>
      <c r="K20" s="155"/>
      <c r="L20" s="155"/>
      <c r="M20" s="155"/>
    </row>
    <row r="21" spans="1:16" s="2" customFormat="1">
      <c r="A21" s="268" t="str">
        <f>A11</f>
        <v>a</v>
      </c>
      <c r="B21" s="1015" t="s">
        <v>623</v>
      </c>
      <c r="C21" s="1015"/>
      <c r="D21" s="1015"/>
      <c r="E21" s="1015"/>
      <c r="F21" s="1015"/>
      <c r="G21" s="1015"/>
      <c r="H21" s="1015"/>
      <c r="I21" s="1015"/>
      <c r="J21" s="1015"/>
      <c r="K21" s="1015"/>
      <c r="L21" s="1015"/>
      <c r="M21" s="1015"/>
    </row>
    <row r="22" spans="1:16" s="2" customFormat="1">
      <c r="A22" s="268" t="str">
        <f>A12</f>
        <v>b</v>
      </c>
      <c r="B22" s="1015"/>
      <c r="C22" s="1015"/>
      <c r="D22" s="1015"/>
      <c r="E22" s="1015"/>
      <c r="F22" s="1015"/>
      <c r="G22" s="1015"/>
      <c r="H22" s="1015"/>
      <c r="I22" s="1015"/>
      <c r="J22" s="1015"/>
      <c r="K22" s="1015"/>
      <c r="L22" s="1015"/>
      <c r="M22" s="1015"/>
    </row>
    <row r="23" spans="1:16" s="2" customFormat="1">
      <c r="A23" s="268" t="str">
        <f>A13</f>
        <v>c</v>
      </c>
      <c r="B23" s="1015"/>
      <c r="C23" s="1015"/>
      <c r="D23" s="1015"/>
      <c r="E23" s="1015"/>
      <c r="F23" s="1015"/>
      <c r="G23" s="1015"/>
      <c r="H23" s="1015"/>
      <c r="I23" s="1015"/>
      <c r="J23" s="1015"/>
      <c r="K23" s="1015"/>
      <c r="L23" s="1015"/>
      <c r="M23" s="1015"/>
    </row>
    <row r="24" spans="1:16" s="2" customFormat="1">
      <c r="A24" s="268" t="str">
        <f>A14</f>
        <v>d</v>
      </c>
      <c r="B24" s="1015"/>
      <c r="C24" s="1015"/>
      <c r="D24" s="1015"/>
      <c r="E24" s="1015"/>
      <c r="F24" s="1015"/>
      <c r="G24" s="1015"/>
      <c r="H24" s="1015"/>
      <c r="I24" s="1015"/>
      <c r="J24" s="1015"/>
      <c r="K24" s="1015"/>
      <c r="L24" s="1015"/>
      <c r="M24" s="1015"/>
    </row>
    <row r="25" spans="1:16" s="2" customFormat="1">
      <c r="A25" s="268" t="str">
        <f>A15</f>
        <v>e</v>
      </c>
      <c r="B25" s="1015"/>
      <c r="C25" s="1015"/>
      <c r="D25" s="1015"/>
      <c r="E25" s="1015"/>
      <c r="F25" s="1015"/>
      <c r="G25" s="1015"/>
      <c r="H25" s="1015"/>
      <c r="I25" s="1015"/>
      <c r="J25" s="1015"/>
      <c r="K25" s="1015"/>
      <c r="L25" s="1015"/>
      <c r="M25" s="1015"/>
    </row>
    <row r="26" spans="1:16" s="2" customFormat="1">
      <c r="A26" s="268" t="s">
        <v>170</v>
      </c>
      <c r="B26" s="943"/>
      <c r="C26" s="943"/>
      <c r="D26" s="943"/>
      <c r="E26" s="943"/>
      <c r="F26" s="943"/>
      <c r="G26" s="943"/>
      <c r="H26" s="943"/>
      <c r="I26" s="943"/>
      <c r="J26" s="943"/>
      <c r="K26" s="943"/>
      <c r="L26" s="943"/>
      <c r="M26" s="943"/>
    </row>
    <row r="27" spans="1:16" s="2" customFormat="1">
      <c r="A27" s="268" t="s">
        <v>479</v>
      </c>
      <c r="B27" s="943"/>
      <c r="C27" s="943"/>
      <c r="D27" s="943"/>
      <c r="E27" s="943"/>
      <c r="F27" s="943"/>
      <c r="G27" s="943"/>
      <c r="H27" s="943"/>
      <c r="I27" s="943"/>
      <c r="J27" s="943"/>
      <c r="K27" s="943"/>
      <c r="L27" s="943"/>
      <c r="M27" s="943"/>
    </row>
    <row r="28" spans="1:16" s="532" customFormat="1">
      <c r="A28" s="38"/>
      <c r="B28" s="536"/>
      <c r="C28" s="536"/>
      <c r="D28" s="536"/>
      <c r="E28" s="536"/>
      <c r="F28" s="536"/>
      <c r="G28" s="536"/>
      <c r="H28" s="536"/>
      <c r="I28" s="536"/>
      <c r="J28" s="536"/>
      <c r="K28" s="536"/>
      <c r="L28" s="536"/>
      <c r="M28" s="536"/>
    </row>
    <row r="29" spans="1:16" s="2" customFormat="1">
      <c r="B29" s="12"/>
      <c r="C29" s="135"/>
      <c r="D29" s="52"/>
      <c r="E29" s="52"/>
      <c r="F29" s="52"/>
      <c r="G29" s="52"/>
      <c r="H29" s="52"/>
      <c r="I29" s="52"/>
      <c r="J29" s="52"/>
      <c r="K29" s="52"/>
    </row>
    <row r="30" spans="1:16" s="2" customFormat="1">
      <c r="A30" s="35"/>
      <c r="B30" s="115" t="s">
        <v>200</v>
      </c>
      <c r="C30" s="149"/>
      <c r="D30" s="81"/>
      <c r="E30" s="81"/>
      <c r="F30" s="81"/>
      <c r="G30" s="81"/>
      <c r="H30" s="81"/>
      <c r="I30" s="81"/>
      <c r="J30" s="81"/>
      <c r="K30" s="81"/>
      <c r="L30" s="81"/>
      <c r="M30" s="81"/>
      <c r="N30" s="81"/>
    </row>
    <row r="31" spans="1:16" s="2" customFormat="1">
      <c r="A31" s="35"/>
      <c r="B31" s="35"/>
      <c r="C31" s="35"/>
      <c r="D31" s="35"/>
      <c r="E31" s="35"/>
      <c r="F31" s="35"/>
      <c r="G31" s="35"/>
      <c r="H31" s="35"/>
      <c r="I31" s="35"/>
      <c r="J31" s="35"/>
      <c r="K31" s="35"/>
      <c r="L31" s="35"/>
      <c r="M31" s="35"/>
      <c r="N31" s="35"/>
      <c r="O31" s="35"/>
      <c r="P31" s="35"/>
    </row>
    <row r="32" spans="1:16" s="2" customFormat="1">
      <c r="A32" s="35"/>
      <c r="B32" s="366" t="s">
        <v>211</v>
      </c>
      <c r="C32" s="290"/>
      <c r="D32" s="292"/>
      <c r="E32" s="292"/>
      <c r="F32" s="292"/>
      <c r="G32" s="292"/>
      <c r="H32" s="292"/>
      <c r="I32" s="292"/>
      <c r="J32" s="292"/>
      <c r="K32" s="292"/>
      <c r="L32" s="292"/>
      <c r="M32" s="292"/>
      <c r="N32" s="292"/>
    </row>
    <row r="33" spans="1:14" s="2" customFormat="1">
      <c r="A33" s="35"/>
      <c r="B33" s="367" t="s">
        <v>241</v>
      </c>
      <c r="C33" s="290"/>
      <c r="D33" s="292"/>
      <c r="E33" s="292"/>
      <c r="F33" s="292"/>
      <c r="G33" s="292"/>
      <c r="H33" s="292"/>
      <c r="I33" s="292"/>
      <c r="J33" s="292"/>
      <c r="K33" s="292"/>
      <c r="L33" s="292"/>
      <c r="M33" s="292"/>
      <c r="N33" s="292"/>
    </row>
    <row r="34" spans="1:14" s="2" customFormat="1">
      <c r="A34" s="35"/>
      <c r="B34" s="367" t="s">
        <v>480</v>
      </c>
      <c r="C34" s="290"/>
      <c r="D34" s="292"/>
      <c r="E34" s="292"/>
      <c r="F34" s="292"/>
      <c r="G34" s="292"/>
      <c r="H34" s="292"/>
      <c r="I34" s="292"/>
      <c r="J34" s="292"/>
      <c r="K34" s="292"/>
      <c r="L34" s="292"/>
      <c r="M34" s="292"/>
      <c r="N34" s="292"/>
    </row>
    <row r="35" spans="1:14" s="2" customFormat="1">
      <c r="A35" s="35"/>
      <c r="B35" s="367" t="s">
        <v>209</v>
      </c>
      <c r="C35" s="290"/>
      <c r="D35" s="292"/>
      <c r="E35" s="292"/>
      <c r="F35" s="292"/>
      <c r="G35" s="292"/>
      <c r="H35" s="292"/>
      <c r="I35" s="292"/>
      <c r="J35" s="292"/>
      <c r="K35" s="292"/>
      <c r="L35" s="292"/>
      <c r="M35" s="292"/>
      <c r="N35" s="292"/>
    </row>
    <row r="36" spans="1:14" s="2" customFormat="1">
      <c r="A36" s="35"/>
      <c r="B36" s="367" t="s">
        <v>202</v>
      </c>
      <c r="C36" s="290"/>
      <c r="D36" s="292"/>
      <c r="E36" s="292"/>
      <c r="F36" s="292"/>
      <c r="G36" s="292"/>
      <c r="H36" s="292"/>
      <c r="I36" s="292"/>
      <c r="J36" s="292"/>
      <c r="K36" s="292"/>
      <c r="L36" s="292"/>
      <c r="M36" s="292"/>
      <c r="N36" s="292"/>
    </row>
    <row r="37" spans="1:14" s="2" customFormat="1">
      <c r="A37" s="35"/>
      <c r="B37" s="367" t="s">
        <v>208</v>
      </c>
      <c r="C37" s="290"/>
      <c r="D37" s="292"/>
      <c r="E37" s="292"/>
      <c r="F37" s="292"/>
      <c r="G37" s="292"/>
      <c r="H37" s="292"/>
      <c r="I37" s="292"/>
      <c r="J37" s="292"/>
      <c r="K37" s="292"/>
      <c r="L37" s="292"/>
      <c r="M37" s="292"/>
      <c r="N37" s="292"/>
    </row>
    <row r="38" spans="1:14" s="2" customFormat="1">
      <c r="B38" s="12"/>
      <c r="C38" s="135"/>
    </row>
    <row r="39" spans="1:14" s="2" customFormat="1">
      <c r="A39" s="159" t="str">
        <f t="shared" ref="A39:A45" si="3">A11</f>
        <v>a</v>
      </c>
      <c r="B39" s="35" t="str">
        <f>$B$11&amp;""</f>
        <v>Broad measure of customer service</v>
      </c>
      <c r="C39" s="154" t="str">
        <f>'RFPR cover'!$C$14</f>
        <v>£m 12/13</v>
      </c>
      <c r="D39" s="670">
        <f>D51</f>
        <v>4.5018990000000008</v>
      </c>
      <c r="E39" s="670">
        <f t="shared" ref="E39:K39" si="4">E51</f>
        <v>4.4062380000000001</v>
      </c>
      <c r="F39" s="670">
        <f t="shared" si="4"/>
        <v>4.4580230199890138</v>
      </c>
      <c r="G39" s="670">
        <f t="shared" si="4"/>
        <v>4.558939200000002</v>
      </c>
      <c r="H39" s="670">
        <f t="shared" si="4"/>
        <v>4.7115</v>
      </c>
      <c r="I39" s="670">
        <f t="shared" si="4"/>
        <v>4.7115</v>
      </c>
      <c r="J39" s="670">
        <f t="shared" si="4"/>
        <v>4.7115</v>
      </c>
      <c r="K39" s="670">
        <f t="shared" si="4"/>
        <v>4.7115</v>
      </c>
      <c r="L39" s="670">
        <f>SUM(D39:INDEX(D39:K39,0,MATCH('RFPR cover'!$C$7,$D$6:$K$6,0)))</f>
        <v>22.636599219989016</v>
      </c>
      <c r="M39" s="671">
        <f t="shared" ref="M39:M45" si="5">SUM(D39:K39)</f>
        <v>36.771099219989019</v>
      </c>
    </row>
    <row r="40" spans="1:14" s="2" customFormat="1">
      <c r="A40" s="159" t="str">
        <f t="shared" si="3"/>
        <v>b</v>
      </c>
      <c r="B40" s="35" t="str">
        <f>$B$12&amp;""</f>
        <v>Interruptions-related quality of service</v>
      </c>
      <c r="C40" s="154" t="str">
        <f>'RFPR cover'!$C$14</f>
        <v>£m 12/13</v>
      </c>
      <c r="D40" s="670">
        <f>D55</f>
        <v>13.851000000000003</v>
      </c>
      <c r="E40" s="670">
        <f t="shared" ref="E40:K40" si="6">E55</f>
        <v>13.851000000000003</v>
      </c>
      <c r="F40" s="670">
        <f t="shared" si="6"/>
        <v>11.471620891991474</v>
      </c>
      <c r="G40" s="670">
        <f t="shared" si="6"/>
        <v>13.611499999999996</v>
      </c>
      <c r="H40" s="670">
        <f t="shared" si="6"/>
        <v>13.76858</v>
      </c>
      <c r="I40" s="670">
        <f t="shared" si="6"/>
        <v>11.61491996606992</v>
      </c>
      <c r="J40" s="670">
        <f t="shared" si="6"/>
        <v>11.073819966069919</v>
      </c>
      <c r="K40" s="670">
        <f t="shared" si="6"/>
        <v>10.504719966069919</v>
      </c>
      <c r="L40" s="674">
        <f>SUM(D40:INDEX(D40:K40,0,MATCH('RFPR cover'!$C$7,$D$6:$K$6,0)))</f>
        <v>66.553700891991468</v>
      </c>
      <c r="M40" s="675">
        <f t="shared" si="5"/>
        <v>99.747160790201221</v>
      </c>
    </row>
    <row r="41" spans="1:14" s="2" customFormat="1">
      <c r="A41" s="159" t="str">
        <f t="shared" si="3"/>
        <v>c</v>
      </c>
      <c r="B41" s="35" t="str">
        <f>$B$13&amp;""</f>
        <v>Incentive on connections engagement</v>
      </c>
      <c r="C41" s="154" t="str">
        <f>'RFPR cover'!$C$14</f>
        <v>£m 12/13</v>
      </c>
      <c r="D41" s="670">
        <f>D59</f>
        <v>0</v>
      </c>
      <c r="E41" s="670">
        <f t="shared" ref="E41:K41" si="7">E59</f>
        <v>0</v>
      </c>
      <c r="F41" s="670">
        <f t="shared" si="7"/>
        <v>0</v>
      </c>
      <c r="G41" s="670">
        <f t="shared" si="7"/>
        <v>0</v>
      </c>
      <c r="H41" s="670">
        <f t="shared" si="7"/>
        <v>0</v>
      </c>
      <c r="I41" s="670">
        <f t="shared" si="7"/>
        <v>0</v>
      </c>
      <c r="J41" s="670">
        <f t="shared" si="7"/>
        <v>0</v>
      </c>
      <c r="K41" s="670">
        <f t="shared" si="7"/>
        <v>0</v>
      </c>
      <c r="L41" s="674">
        <f>SUM(D41:INDEX(D41:K41,0,MATCH('RFPR cover'!$C$7,$D$6:$K$6,0)))</f>
        <v>0</v>
      </c>
      <c r="M41" s="675">
        <f t="shared" si="5"/>
        <v>0</v>
      </c>
    </row>
    <row r="42" spans="1:14" s="2" customFormat="1">
      <c r="A42" s="159" t="str">
        <f t="shared" si="3"/>
        <v>d</v>
      </c>
      <c r="B42" s="35" t="str">
        <f>$B$14&amp;""</f>
        <v>Time to Connect Incentive</v>
      </c>
      <c r="C42" s="154" t="str">
        <f>'RFPR cover'!$C$14</f>
        <v>£m 12/13</v>
      </c>
      <c r="D42" s="670">
        <f>D63</f>
        <v>1.2502350000000004</v>
      </c>
      <c r="E42" s="670">
        <f t="shared" ref="E42:K42" si="8">E63</f>
        <v>1.0649301063079839</v>
      </c>
      <c r="F42" s="670">
        <f t="shared" si="8"/>
        <v>1.2960000000000003</v>
      </c>
      <c r="G42" s="670">
        <f t="shared" si="8"/>
        <v>1.2960000000000003</v>
      </c>
      <c r="H42" s="670">
        <f t="shared" si="8"/>
        <v>1.2869518890896297</v>
      </c>
      <c r="I42" s="670">
        <f t="shared" si="8"/>
        <v>1.2367742473517762</v>
      </c>
      <c r="J42" s="670">
        <f t="shared" si="8"/>
        <v>1.2367742473517762</v>
      </c>
      <c r="K42" s="670">
        <f t="shared" si="8"/>
        <v>1.2367742473517762</v>
      </c>
      <c r="L42" s="674">
        <f>SUM(D42:INDEX(D42:K42,0,MATCH('RFPR cover'!$C$7,$D$6:$K$6,0)))</f>
        <v>6.1941169953976143</v>
      </c>
      <c r="M42" s="675">
        <f t="shared" si="5"/>
        <v>9.9044397374529431</v>
      </c>
    </row>
    <row r="43" spans="1:14" s="2" customFormat="1">
      <c r="A43" s="159" t="str">
        <f t="shared" si="3"/>
        <v>e</v>
      </c>
      <c r="B43" s="35" t="str">
        <f>$B$15&amp;""</f>
        <v>Losses discretionary reward scheme</v>
      </c>
      <c r="C43" s="154" t="str">
        <f>'RFPR cover'!$C$14</f>
        <v>£m 12/13</v>
      </c>
      <c r="D43" s="670">
        <f>D67</f>
        <v>0</v>
      </c>
      <c r="E43" s="670">
        <f t="shared" ref="E43:K43" si="9">E67</f>
        <v>3.2400000000000005E-2</v>
      </c>
      <c r="F43" s="670">
        <f t="shared" si="9"/>
        <v>0</v>
      </c>
      <c r="G43" s="670">
        <f t="shared" si="9"/>
        <v>0</v>
      </c>
      <c r="H43" s="670">
        <f t="shared" si="9"/>
        <v>0</v>
      </c>
      <c r="I43" s="670">
        <f t="shared" si="9"/>
        <v>0</v>
      </c>
      <c r="J43" s="670">
        <f t="shared" si="9"/>
        <v>0</v>
      </c>
      <c r="K43" s="670">
        <f t="shared" si="9"/>
        <v>0</v>
      </c>
      <c r="L43" s="674">
        <f>SUM(D43:INDEX(D43:K43,0,MATCH('RFPR cover'!$C$7,$D$6:$K$6,0)))</f>
        <v>3.2400000000000005E-2</v>
      </c>
      <c r="M43" s="675">
        <f t="shared" si="5"/>
        <v>3.2400000000000005E-2</v>
      </c>
    </row>
    <row r="44" spans="1:14" s="2" customFormat="1">
      <c r="A44" s="159" t="str">
        <f t="shared" si="3"/>
        <v>f</v>
      </c>
      <c r="B44" s="35" t="str">
        <f>$B$16&amp;""</f>
        <v/>
      </c>
      <c r="C44" s="154" t="str">
        <f>'RFPR cover'!$C$14</f>
        <v>£m 12/13</v>
      </c>
      <c r="D44" s="670">
        <f>D71</f>
        <v>0</v>
      </c>
      <c r="E44" s="670">
        <f t="shared" ref="E44:K44" si="10">E71</f>
        <v>0</v>
      </c>
      <c r="F44" s="670">
        <f t="shared" si="10"/>
        <v>0</v>
      </c>
      <c r="G44" s="670">
        <f t="shared" si="10"/>
        <v>0</v>
      </c>
      <c r="H44" s="670">
        <f t="shared" si="10"/>
        <v>0</v>
      </c>
      <c r="I44" s="670">
        <f t="shared" si="10"/>
        <v>0</v>
      </c>
      <c r="J44" s="670">
        <f t="shared" si="10"/>
        <v>0</v>
      </c>
      <c r="K44" s="670">
        <f t="shared" si="10"/>
        <v>0</v>
      </c>
      <c r="L44" s="674">
        <f>SUM(D44:INDEX(D44:K44,0,MATCH('RFPR cover'!$C$7,$D$6:$K$6,0)))</f>
        <v>0</v>
      </c>
      <c r="M44" s="675">
        <f t="shared" si="5"/>
        <v>0</v>
      </c>
    </row>
    <row r="45" spans="1:14" s="2" customFormat="1">
      <c r="A45" s="159" t="str">
        <f t="shared" si="3"/>
        <v>g</v>
      </c>
      <c r="B45" s="35" t="str">
        <f>$B$17&amp;""</f>
        <v/>
      </c>
      <c r="C45" s="154" t="str">
        <f>'RFPR cover'!$C$14</f>
        <v>£m 12/13</v>
      </c>
      <c r="D45" s="670">
        <f>D75</f>
        <v>0</v>
      </c>
      <c r="E45" s="670">
        <f t="shared" ref="E45:K45" si="11">E75</f>
        <v>0</v>
      </c>
      <c r="F45" s="670">
        <f t="shared" si="11"/>
        <v>0</v>
      </c>
      <c r="G45" s="670">
        <f t="shared" si="11"/>
        <v>0</v>
      </c>
      <c r="H45" s="670">
        <f t="shared" si="11"/>
        <v>0</v>
      </c>
      <c r="I45" s="670">
        <f t="shared" si="11"/>
        <v>0</v>
      </c>
      <c r="J45" s="670">
        <f t="shared" si="11"/>
        <v>0</v>
      </c>
      <c r="K45" s="670">
        <f t="shared" si="11"/>
        <v>0</v>
      </c>
      <c r="L45" s="674">
        <f>SUM(D45:INDEX(D45:K45,0,MATCH('RFPR cover'!$C$7,$D$6:$K$6,0)))</f>
        <v>0</v>
      </c>
      <c r="M45" s="675">
        <f t="shared" si="5"/>
        <v>0</v>
      </c>
    </row>
    <row r="46" spans="1:14" s="2" customFormat="1">
      <c r="B46" s="12" t="s">
        <v>204</v>
      </c>
      <c r="C46" s="155" t="str">
        <f>'RFPR cover'!$C$14</f>
        <v>£m 12/13</v>
      </c>
      <c r="D46" s="609">
        <f>SUM(D39:D45)</f>
        <v>19.603134000000004</v>
      </c>
      <c r="E46" s="609">
        <f t="shared" ref="E46:M46" si="12">SUM(E39:E45)</f>
        <v>19.354568106307983</v>
      </c>
      <c r="F46" s="609">
        <f t="shared" si="12"/>
        <v>17.225643911980487</v>
      </c>
      <c r="G46" s="609">
        <f t="shared" si="12"/>
        <v>19.466439199999996</v>
      </c>
      <c r="H46" s="610">
        <f t="shared" si="12"/>
        <v>19.76703188908963</v>
      </c>
      <c r="I46" s="610">
        <f t="shared" si="12"/>
        <v>17.563194213421696</v>
      </c>
      <c r="J46" s="610">
        <f t="shared" si="12"/>
        <v>17.022094213421695</v>
      </c>
      <c r="K46" s="610">
        <f t="shared" si="12"/>
        <v>16.452994213421693</v>
      </c>
      <c r="L46" s="609">
        <f t="shared" si="12"/>
        <v>95.416817107378108</v>
      </c>
      <c r="M46" s="609">
        <f t="shared" si="12"/>
        <v>146.45509974764317</v>
      </c>
    </row>
    <row r="47" spans="1:14" s="2" customFormat="1">
      <c r="B47" s="12"/>
      <c r="C47" s="155"/>
      <c r="D47" s="155"/>
      <c r="E47" s="155"/>
      <c r="F47" s="155"/>
      <c r="G47" s="155"/>
      <c r="H47" s="155"/>
      <c r="I47" s="155"/>
      <c r="J47" s="155"/>
      <c r="K47" s="155"/>
      <c r="L47" s="155"/>
      <c r="M47" s="155"/>
    </row>
    <row r="48" spans="1:14" s="2" customFormat="1">
      <c r="B48" s="12"/>
      <c r="C48" s="155"/>
      <c r="D48" s="160"/>
      <c r="E48" s="155"/>
      <c r="F48" s="155"/>
      <c r="G48" s="155"/>
      <c r="H48" s="155"/>
      <c r="I48" s="155"/>
      <c r="J48" s="155"/>
      <c r="K48" s="155"/>
      <c r="L48" s="155"/>
      <c r="M48" s="155"/>
    </row>
    <row r="49" spans="1:13" s="2" customFormat="1">
      <c r="A49" s="159" t="str">
        <f>$A$11</f>
        <v>a</v>
      </c>
      <c r="B49" s="170" t="str">
        <f>INDEX($B$11:$B$15,MATCH($A49,$A$11:$A$15,0),0)&amp;""</f>
        <v>Broad measure of customer service</v>
      </c>
      <c r="C49" s="154" t="str">
        <f>'RFPR cover'!$C$14</f>
        <v>£m 12/13</v>
      </c>
      <c r="D49" s="781">
        <f>INDEX($D$11:$K$17,MATCH($A49,$A$11:$A$17,0),0)</f>
        <v>5.557900000000001</v>
      </c>
      <c r="E49" s="781">
        <f t="shared" ref="E49:K49" si="13">INDEX($D$11:$K$17,MATCH($A49,$A$11:$A$17,0),0)</f>
        <v>5.4398</v>
      </c>
      <c r="F49" s="781">
        <f t="shared" si="13"/>
        <v>5.5037321234432266</v>
      </c>
      <c r="G49" s="781">
        <f t="shared" si="13"/>
        <v>5.6283200000000022</v>
      </c>
      <c r="H49" s="781">
        <f t="shared" si="13"/>
        <v>5.8166666666666664</v>
      </c>
      <c r="I49" s="781">
        <f t="shared" si="13"/>
        <v>5.8166666666666664</v>
      </c>
      <c r="J49" s="781">
        <f t="shared" si="13"/>
        <v>5.8166666666666664</v>
      </c>
      <c r="K49" s="781">
        <f t="shared" si="13"/>
        <v>5.8166666666666664</v>
      </c>
      <c r="L49" s="781">
        <f>SUM(D49:INDEX(D49:K49,0,MATCH('RFPR cover'!$C$7,$D$6:$K$6,0)))</f>
        <v>27.946418790109899</v>
      </c>
      <c r="M49" s="782">
        <f>SUM(D49:K49)</f>
        <v>45.396418790109891</v>
      </c>
    </row>
    <row r="50" spans="1:13" s="2" customFormat="1">
      <c r="A50" s="159"/>
      <c r="B50" s="35" t="s">
        <v>201</v>
      </c>
      <c r="C50" s="293" t="s">
        <v>202</v>
      </c>
      <c r="D50" s="883">
        <f>IF($C50=$B$33,$B$33,INDEX(Data!$G$14:$G$30,MATCH('R5 - Output Incentives'!D$6+RIGHT('R5 - Output Incentives'!$C50,2),Data!$C$14:$C$30,0),0))</f>
        <v>0.19</v>
      </c>
      <c r="E50" s="884">
        <f>IF($C50=$B$33,$B$33,INDEX(Data!$G$14:$G$30,MATCH('R5 - Output Incentives'!E$6+RIGHT('R5 - Output Incentives'!$C50,2),Data!$C$14:$C$30,0),0))</f>
        <v>0.19</v>
      </c>
      <c r="F50" s="884">
        <f>IF($C50=$B$33,$B$33,INDEX(Data!$G$14:$G$30,MATCH('R5 - Output Incentives'!F$6+RIGHT('R5 - Output Incentives'!$C50,2),Data!$C$14:$C$30,0),0))</f>
        <v>0.19</v>
      </c>
      <c r="G50" s="884">
        <f>IF($C50=$B$33,$B$33,INDEX(Data!$G$14:$G$30,MATCH('R5 - Output Incentives'!G$6+RIGHT('R5 - Output Incentives'!$C50,2),Data!$C$14:$C$30,0),0))</f>
        <v>0.19</v>
      </c>
      <c r="H50" s="884">
        <f>IF($C50=$B$33,$B$33,INDEX(Data!$G$14:$G$30,MATCH('R5 - Output Incentives'!H$6+RIGHT('R5 - Output Incentives'!$C50,2),Data!$C$14:$C$30,0),0))</f>
        <v>0.19</v>
      </c>
      <c r="I50" s="884">
        <f>IF($C50=$B$33,$B$33,INDEX(Data!$G$14:$G$30,MATCH('R5 - Output Incentives'!I$6+RIGHT('R5 - Output Incentives'!$C50,2),Data!$C$14:$C$30,0),0))</f>
        <v>0.19</v>
      </c>
      <c r="J50" s="884">
        <f>IF($C50=$B$33,$B$33,INDEX(Data!$G$14:$G$30,MATCH('R5 - Output Incentives'!J$6+RIGHT('R5 - Output Incentives'!$C50,2),Data!$C$14:$C$30,0),0))</f>
        <v>0.19</v>
      </c>
      <c r="K50" s="885">
        <f>IF($C50=$B$33,$B$33,INDEX(Data!$G$14:$G$30,MATCH('R5 - Output Incentives'!K$6+RIGHT('R5 - Output Incentives'!$C50,2),Data!$C$14:$C$30,0),0))</f>
        <v>0.19</v>
      </c>
      <c r="L50" s="783"/>
      <c r="M50" s="784"/>
    </row>
    <row r="51" spans="1:13" s="2" customFormat="1">
      <c r="A51" s="159"/>
      <c r="B51" s="35" t="s">
        <v>210</v>
      </c>
      <c r="C51" s="154"/>
      <c r="D51" s="609">
        <f>IFERROR(D49*(1-D50),0)</f>
        <v>4.5018990000000008</v>
      </c>
      <c r="E51" s="610">
        <f t="shared" ref="E51:K51" si="14">IFERROR(E49*(1-E50),0)</f>
        <v>4.4062380000000001</v>
      </c>
      <c r="F51" s="610">
        <f t="shared" si="14"/>
        <v>4.4580230199890138</v>
      </c>
      <c r="G51" s="610">
        <f t="shared" si="14"/>
        <v>4.558939200000002</v>
      </c>
      <c r="H51" s="610">
        <f t="shared" si="14"/>
        <v>4.7115</v>
      </c>
      <c r="I51" s="610">
        <f t="shared" si="14"/>
        <v>4.7115</v>
      </c>
      <c r="J51" s="610">
        <f t="shared" si="14"/>
        <v>4.7115</v>
      </c>
      <c r="K51" s="610">
        <f t="shared" si="14"/>
        <v>4.7115</v>
      </c>
      <c r="L51" s="668">
        <f>SUM(D51:INDEX(D51:K51,0,MATCH('RFPR cover'!$C$7,$D$6:$K$6,0)))</f>
        <v>22.636599219989016</v>
      </c>
      <c r="M51" s="669">
        <f>SUM(D51:K51)</f>
        <v>36.771099219989019</v>
      </c>
    </row>
    <row r="52" spans="1:13" s="2" customFormat="1">
      <c r="A52" s="159"/>
      <c r="B52" s="51"/>
      <c r="C52" s="155"/>
      <c r="D52" s="155"/>
      <c r="E52" s="155"/>
      <c r="F52" s="155"/>
      <c r="G52" s="155"/>
      <c r="H52" s="155"/>
      <c r="I52" s="155"/>
      <c r="J52" s="155"/>
      <c r="K52" s="155"/>
      <c r="L52" s="155"/>
      <c r="M52" s="155"/>
    </row>
    <row r="53" spans="1:13" s="2" customFormat="1">
      <c r="A53" s="159" t="str">
        <f>$A$12</f>
        <v>b</v>
      </c>
      <c r="B53" s="170" t="str">
        <f>INDEX($B$11:$B$15,MATCH($A53,$A$11:$A$15,0),0)&amp;""</f>
        <v>Interruptions-related quality of service</v>
      </c>
      <c r="C53" s="154" t="str">
        <f>'RFPR cover'!$C$14</f>
        <v>£m 12/13</v>
      </c>
      <c r="D53" s="781">
        <f>INDEX($D$11:$K$17,MATCH($A53,$A$11:$A$17,0),0)</f>
        <v>17.100000000000001</v>
      </c>
      <c r="E53" s="781">
        <f t="shared" ref="E53:K53" si="15">INDEX($D$11:$K$17,MATCH($A53,$A$11:$A$17,0),0)</f>
        <v>17.100000000000001</v>
      </c>
      <c r="F53" s="781">
        <f t="shared" si="15"/>
        <v>14.162494928384536</v>
      </c>
      <c r="G53" s="781">
        <f t="shared" si="15"/>
        <v>16.804320987654314</v>
      </c>
      <c r="H53" s="781">
        <f t="shared" si="15"/>
        <v>16.998246913580246</v>
      </c>
      <c r="I53" s="781">
        <f t="shared" si="15"/>
        <v>14.339407365518419</v>
      </c>
      <c r="J53" s="781">
        <f t="shared" si="15"/>
        <v>13.671382674160395</v>
      </c>
      <c r="K53" s="781">
        <f t="shared" si="15"/>
        <v>12.9687900815678</v>
      </c>
      <c r="L53" s="670">
        <f>SUM(D53:INDEX(D53:K53,0,MATCH('RFPR cover'!$C$7,$D$6:$K$6,0)))</f>
        <v>82.165062829619089</v>
      </c>
      <c r="M53" s="671">
        <f>SUM(D53:K53)</f>
        <v>123.14464295086572</v>
      </c>
    </row>
    <row r="54" spans="1:13" s="2" customFormat="1">
      <c r="A54" s="159"/>
      <c r="B54" s="35" t="s">
        <v>201</v>
      </c>
      <c r="C54" s="293" t="s">
        <v>202</v>
      </c>
      <c r="D54" s="883">
        <f>IF($C54=$B$33,$B$33,INDEX(Data!$G$14:$G$30,MATCH('R5 - Output Incentives'!D$6+RIGHT('R5 - Output Incentives'!$C54,2),Data!$C$14:$C$30,0),0))</f>
        <v>0.19</v>
      </c>
      <c r="E54" s="884">
        <f>IF($C54=$B$33,$B$33,INDEX(Data!$G$14:$G$30,MATCH('R5 - Output Incentives'!E$6+RIGHT('R5 - Output Incentives'!$C54,2),Data!$C$14:$C$30,0),0))</f>
        <v>0.19</v>
      </c>
      <c r="F54" s="884">
        <f>IF($C54=$B$33,$B$33,INDEX(Data!$G$14:$G$30,MATCH('R5 - Output Incentives'!F$6+RIGHT('R5 - Output Incentives'!$C54,2),Data!$C$14:$C$30,0),0))</f>
        <v>0.19</v>
      </c>
      <c r="G54" s="884">
        <f>IF($C54=$B$33,$B$33,INDEX(Data!$G$14:$G$30,MATCH('R5 - Output Incentives'!G$6+RIGHT('R5 - Output Incentives'!$C54,2),Data!$C$14:$C$30,0),0))</f>
        <v>0.19</v>
      </c>
      <c r="H54" s="884">
        <f>IF($C54=$B$33,$B$33,INDEX(Data!$G$14:$G$30,MATCH('R5 - Output Incentives'!H$6+RIGHT('R5 - Output Incentives'!$C54,2),Data!$C$14:$C$30,0),0))</f>
        <v>0.19</v>
      </c>
      <c r="I54" s="884">
        <f>IF($C54=$B$33,$B$33,INDEX(Data!$G$14:$G$30,MATCH('R5 - Output Incentives'!I$6+RIGHT('R5 - Output Incentives'!$C54,2),Data!$C$14:$C$30,0),0))</f>
        <v>0.19</v>
      </c>
      <c r="J54" s="884">
        <f>IF($C54=$B$33,$B$33,INDEX(Data!$G$14:$G$30,MATCH('R5 - Output Incentives'!J$6+RIGHT('R5 - Output Incentives'!$C54,2),Data!$C$14:$C$30,0),0))</f>
        <v>0.19</v>
      </c>
      <c r="K54" s="885">
        <f>IF($C54=$B$33,$B$33,INDEX(Data!$G$14:$G$30,MATCH('R5 - Output Incentives'!K$6+RIGHT('R5 - Output Incentives'!$C54,2),Data!$C$14:$C$30,0),0))</f>
        <v>0.19</v>
      </c>
      <c r="L54" s="783"/>
      <c r="M54" s="784"/>
    </row>
    <row r="55" spans="1:13" s="2" customFormat="1">
      <c r="A55" s="159"/>
      <c r="B55" s="35" t="s">
        <v>210</v>
      </c>
      <c r="C55" s="154"/>
      <c r="D55" s="609">
        <f>IFERROR(D53*(1-D54),0)</f>
        <v>13.851000000000003</v>
      </c>
      <c r="E55" s="610">
        <f t="shared" ref="E55:K55" si="16">IFERROR(E53*(1-E54),0)</f>
        <v>13.851000000000003</v>
      </c>
      <c r="F55" s="610">
        <f t="shared" si="16"/>
        <v>11.471620891991474</v>
      </c>
      <c r="G55" s="610">
        <f t="shared" si="16"/>
        <v>13.611499999999996</v>
      </c>
      <c r="H55" s="610">
        <f t="shared" si="16"/>
        <v>13.76858</v>
      </c>
      <c r="I55" s="610">
        <f t="shared" si="16"/>
        <v>11.61491996606992</v>
      </c>
      <c r="J55" s="610">
        <f t="shared" si="16"/>
        <v>11.073819966069919</v>
      </c>
      <c r="K55" s="610">
        <f t="shared" si="16"/>
        <v>10.504719966069919</v>
      </c>
      <c r="L55" s="668">
        <f>SUM(D55:INDEX(D55:K55,0,MATCH('RFPR cover'!$C$7,$D$6:$K$6,0)))</f>
        <v>66.553700891991468</v>
      </c>
      <c r="M55" s="669">
        <f>SUM(D55:K55)</f>
        <v>99.747160790201221</v>
      </c>
    </row>
    <row r="56" spans="1:13" s="2" customFormat="1">
      <c r="A56" s="159"/>
      <c r="B56" s="51"/>
      <c r="C56" s="155"/>
      <c r="D56" s="155"/>
      <c r="E56" s="155"/>
      <c r="F56" s="155"/>
      <c r="G56" s="155"/>
      <c r="H56" s="155"/>
      <c r="I56" s="155"/>
      <c r="J56" s="155"/>
      <c r="K56" s="155"/>
      <c r="L56" s="155"/>
      <c r="M56" s="155"/>
    </row>
    <row r="57" spans="1:13" s="2" customFormat="1">
      <c r="A57" s="159" t="str">
        <f>$A$13</f>
        <v>c</v>
      </c>
      <c r="B57" s="170" t="str">
        <f>INDEX($B$11:$B$15,MATCH($A57,$A$11:$A$15,0),0)&amp;""</f>
        <v>Incentive on connections engagement</v>
      </c>
      <c r="C57" s="154" t="str">
        <f>'RFPR cover'!$C$14</f>
        <v>£m 12/13</v>
      </c>
      <c r="D57" s="781">
        <f>INDEX($D$11:$K$17,MATCH($A57,$A$11:$A$17,0),0)</f>
        <v>0</v>
      </c>
      <c r="E57" s="781">
        <f t="shared" ref="E57:K57" si="17">INDEX($D$11:$K$17,MATCH($A57,$A$11:$A$17,0),0)</f>
        <v>0</v>
      </c>
      <c r="F57" s="781">
        <f t="shared" si="17"/>
        <v>0</v>
      </c>
      <c r="G57" s="781">
        <f t="shared" si="17"/>
        <v>0</v>
      </c>
      <c r="H57" s="781">
        <f t="shared" si="17"/>
        <v>0</v>
      </c>
      <c r="I57" s="781">
        <f t="shared" si="17"/>
        <v>0</v>
      </c>
      <c r="J57" s="781">
        <f t="shared" si="17"/>
        <v>0</v>
      </c>
      <c r="K57" s="781">
        <f t="shared" si="17"/>
        <v>0</v>
      </c>
      <c r="L57" s="670">
        <f>SUM(D57:INDEX(D57:K57,0,MATCH('RFPR cover'!$C$7,$D$6:$K$6,0)))</f>
        <v>0</v>
      </c>
      <c r="M57" s="671">
        <f>SUM(D57:K57)</f>
        <v>0</v>
      </c>
    </row>
    <row r="58" spans="1:13" s="2" customFormat="1">
      <c r="A58" s="159"/>
      <c r="B58" s="35" t="s">
        <v>201</v>
      </c>
      <c r="C58" s="293" t="s">
        <v>208</v>
      </c>
      <c r="D58" s="883">
        <f>IF($C58=$B$33,$B$33,INDEX(Data!$G$14:$G$30,MATCH('R5 - Output Incentives'!D$6+RIGHT('R5 - Output Incentives'!$C58,2),Data!$C$14:$C$30,0),0))</f>
        <v>0.19</v>
      </c>
      <c r="E58" s="884">
        <f>IF($C58=$B$33,$B$33,INDEX(Data!$G$14:$G$30,MATCH('R5 - Output Incentives'!E$6+RIGHT('R5 - Output Incentives'!$C58,2),Data!$C$14:$C$30,0),0))</f>
        <v>0.19</v>
      </c>
      <c r="F58" s="884">
        <f>IF($C58=$B$33,$B$33,INDEX(Data!$G$14:$G$30,MATCH('R5 - Output Incentives'!F$6+RIGHT('R5 - Output Incentives'!$C58,2),Data!$C$14:$C$30,0),0))</f>
        <v>0.19</v>
      </c>
      <c r="G58" s="884">
        <f>IF($C58=$B$33,$B$33,INDEX(Data!$G$14:$G$30,MATCH('R5 - Output Incentives'!G$6+RIGHT('R5 - Output Incentives'!$C58,2),Data!$C$14:$C$30,0),0))</f>
        <v>0.19</v>
      </c>
      <c r="H58" s="884">
        <f>IF($C58=$B$33,$B$33,INDEX(Data!$G$14:$G$30,MATCH('R5 - Output Incentives'!H$6+RIGHT('R5 - Output Incentives'!$C58,2),Data!$C$14:$C$30,0),0))</f>
        <v>0.19</v>
      </c>
      <c r="I58" s="884">
        <f>IF($C58=$B$33,$B$33,INDEX(Data!$G$14:$G$30,MATCH('R5 - Output Incentives'!I$6+RIGHT('R5 - Output Incentives'!$C58,2),Data!$C$14:$C$30,0),0))</f>
        <v>0.19</v>
      </c>
      <c r="J58" s="884">
        <f>IF($C58=$B$33,$B$33,INDEX(Data!$G$14:$G$30,MATCH('R5 - Output Incentives'!J$6+RIGHT('R5 - Output Incentives'!$C58,2),Data!$C$14:$C$30,0),0))</f>
        <v>0.19</v>
      </c>
      <c r="K58" s="885">
        <f>IF($C58=$B$33,$B$33,INDEX(Data!$G$14:$G$30,MATCH('R5 - Output Incentives'!K$6+RIGHT('R5 - Output Incentives'!$C58,2),Data!$C$14:$C$30,0),0))</f>
        <v>0.19</v>
      </c>
      <c r="L58" s="783"/>
      <c r="M58" s="784"/>
    </row>
    <row r="59" spans="1:13" s="2" customFormat="1">
      <c r="A59" s="159"/>
      <c r="B59" s="35" t="s">
        <v>210</v>
      </c>
      <c r="C59" s="154"/>
      <c r="D59" s="609">
        <f>IFERROR(D57*(1-D58),0)</f>
        <v>0</v>
      </c>
      <c r="E59" s="610">
        <f t="shared" ref="E59:K59" si="18">IFERROR(E57*(1-E58),0)</f>
        <v>0</v>
      </c>
      <c r="F59" s="610">
        <f t="shared" si="18"/>
        <v>0</v>
      </c>
      <c r="G59" s="610">
        <f t="shared" si="18"/>
        <v>0</v>
      </c>
      <c r="H59" s="610">
        <f t="shared" si="18"/>
        <v>0</v>
      </c>
      <c r="I59" s="610">
        <f t="shared" si="18"/>
        <v>0</v>
      </c>
      <c r="J59" s="610">
        <f t="shared" si="18"/>
        <v>0</v>
      </c>
      <c r="K59" s="610">
        <f t="shared" si="18"/>
        <v>0</v>
      </c>
      <c r="L59" s="668">
        <f>SUM(D59:INDEX(D59:K59,0,MATCH('RFPR cover'!$C$7,$D$6:$K$6,0)))</f>
        <v>0</v>
      </c>
      <c r="M59" s="669">
        <f>SUM(D59:K59)</f>
        <v>0</v>
      </c>
    </row>
    <row r="60" spans="1:13" s="2" customFormat="1">
      <c r="A60" s="159"/>
      <c r="B60" s="51"/>
      <c r="C60" s="155"/>
      <c r="D60" s="155"/>
      <c r="E60" s="155"/>
      <c r="F60" s="155"/>
      <c r="G60" s="155"/>
      <c r="H60" s="155"/>
      <c r="I60" s="155"/>
      <c r="J60" s="155"/>
      <c r="K60" s="155"/>
      <c r="L60" s="155"/>
      <c r="M60" s="155"/>
    </row>
    <row r="61" spans="1:13" s="2" customFormat="1">
      <c r="A61" s="159" t="str">
        <f>$A$14</f>
        <v>d</v>
      </c>
      <c r="B61" s="170" t="str">
        <f>INDEX($B$11:$B$15,MATCH($A61,$A$11:$A$15,0),0)&amp;""</f>
        <v>Time to Connect Incentive</v>
      </c>
      <c r="C61" s="154" t="str">
        <f>'RFPR cover'!$C$14</f>
        <v>£m 12/13</v>
      </c>
      <c r="D61" s="781">
        <f>INDEX($D$11:$K$17,MATCH($A61,$A$11:$A$17,0),0)</f>
        <v>1.5435000000000005</v>
      </c>
      <c r="E61" s="781">
        <f t="shared" ref="E61:K61" si="19">INDEX($D$11:$K$17,MATCH($A61,$A$11:$A$17,0),0)</f>
        <v>1.3147285263061528</v>
      </c>
      <c r="F61" s="781">
        <f t="shared" si="19"/>
        <v>1.6000000000000003</v>
      </c>
      <c r="G61" s="781">
        <f t="shared" si="19"/>
        <v>1.6</v>
      </c>
      <c r="H61" s="781">
        <f t="shared" si="19"/>
        <v>1.5888294927032462</v>
      </c>
      <c r="I61" s="781">
        <f t="shared" si="19"/>
        <v>1.5268817868540445</v>
      </c>
      <c r="J61" s="781">
        <f t="shared" si="19"/>
        <v>1.5268817868540445</v>
      </c>
      <c r="K61" s="781">
        <f t="shared" si="19"/>
        <v>1.5268817868540445</v>
      </c>
      <c r="L61" s="670">
        <f>SUM(D61:INDEX(D61:K61,0,MATCH('RFPR cover'!$C$7,$D$6:$K$6,0)))</f>
        <v>7.6470580190093997</v>
      </c>
      <c r="M61" s="671">
        <f>SUM(D61:K61)</f>
        <v>12.227703379571533</v>
      </c>
    </row>
    <row r="62" spans="1:13" s="2" customFormat="1">
      <c r="A62" s="159"/>
      <c r="B62" s="35" t="s">
        <v>201</v>
      </c>
      <c r="C62" s="293" t="s">
        <v>202</v>
      </c>
      <c r="D62" s="883">
        <f>IF($C62=$B$33,$B$33,INDEX(Data!$G$14:$G$30,MATCH('R5 - Output Incentives'!D$6+RIGHT('R5 - Output Incentives'!$C62,2),Data!$C$14:$C$30,0),0))</f>
        <v>0.19</v>
      </c>
      <c r="E62" s="884">
        <f>IF($C62=$B$33,$B$33,INDEX(Data!$G$14:$G$30,MATCH('R5 - Output Incentives'!E$6+RIGHT('R5 - Output Incentives'!$C62,2),Data!$C$14:$C$30,0),0))</f>
        <v>0.19</v>
      </c>
      <c r="F62" s="884">
        <f>IF($C62=$B$33,$B$33,INDEX(Data!$G$14:$G$30,MATCH('R5 - Output Incentives'!F$6+RIGHT('R5 - Output Incentives'!$C62,2),Data!$C$14:$C$30,0),0))</f>
        <v>0.19</v>
      </c>
      <c r="G62" s="884">
        <f>IF($C62=$B$33,$B$33,INDEX(Data!$G$14:$G$30,MATCH('R5 - Output Incentives'!G$6+RIGHT('R5 - Output Incentives'!$C62,2),Data!$C$14:$C$30,0),0))</f>
        <v>0.19</v>
      </c>
      <c r="H62" s="884">
        <f>IF($C62=$B$33,$B$33,INDEX(Data!$G$14:$G$30,MATCH('R5 - Output Incentives'!H$6+RIGHT('R5 - Output Incentives'!$C62,2),Data!$C$14:$C$30,0),0))</f>
        <v>0.19</v>
      </c>
      <c r="I62" s="884">
        <f>IF($C62=$B$33,$B$33,INDEX(Data!$G$14:$G$30,MATCH('R5 - Output Incentives'!I$6+RIGHT('R5 - Output Incentives'!$C62,2),Data!$C$14:$C$30,0),0))</f>
        <v>0.19</v>
      </c>
      <c r="J62" s="884">
        <f>IF($C62=$B$33,$B$33,INDEX(Data!$G$14:$G$30,MATCH('R5 - Output Incentives'!J$6+RIGHT('R5 - Output Incentives'!$C62,2),Data!$C$14:$C$30,0),0))</f>
        <v>0.19</v>
      </c>
      <c r="K62" s="885">
        <f>IF($C62=$B$33,$B$33,INDEX(Data!$G$14:$G$30,MATCH('R5 - Output Incentives'!K$6+RIGHT('R5 - Output Incentives'!$C62,2),Data!$C$14:$C$30,0),0))</f>
        <v>0.19</v>
      </c>
      <c r="L62" s="783"/>
      <c r="M62" s="784"/>
    </row>
    <row r="63" spans="1:13" s="2" customFormat="1">
      <c r="A63" s="159"/>
      <c r="B63" s="35" t="s">
        <v>210</v>
      </c>
      <c r="C63" s="154"/>
      <c r="D63" s="609">
        <f>IFERROR(D61*(1-D62),0)</f>
        <v>1.2502350000000004</v>
      </c>
      <c r="E63" s="610">
        <f t="shared" ref="E63:K63" si="20">IFERROR(E61*(1-E62),0)</f>
        <v>1.0649301063079839</v>
      </c>
      <c r="F63" s="610">
        <f t="shared" si="20"/>
        <v>1.2960000000000003</v>
      </c>
      <c r="G63" s="610">
        <f t="shared" si="20"/>
        <v>1.2960000000000003</v>
      </c>
      <c r="H63" s="610">
        <f t="shared" si="20"/>
        <v>1.2869518890896297</v>
      </c>
      <c r="I63" s="610">
        <f t="shared" si="20"/>
        <v>1.2367742473517762</v>
      </c>
      <c r="J63" s="610">
        <f t="shared" si="20"/>
        <v>1.2367742473517762</v>
      </c>
      <c r="K63" s="610">
        <f t="shared" si="20"/>
        <v>1.2367742473517762</v>
      </c>
      <c r="L63" s="668">
        <f>SUM(D63:INDEX(D63:K63,0,MATCH('RFPR cover'!$C$7,$D$6:$K$6,0)))</f>
        <v>6.1941169953976143</v>
      </c>
      <c r="M63" s="669">
        <f>SUM(D63:K63)</f>
        <v>9.9044397374529431</v>
      </c>
    </row>
    <row r="64" spans="1:13" s="2" customFormat="1">
      <c r="A64" s="159"/>
      <c r="B64" s="51"/>
      <c r="C64" s="155"/>
      <c r="D64" s="155"/>
      <c r="E64" s="155"/>
      <c r="F64" s="155"/>
      <c r="G64" s="155"/>
      <c r="H64" s="155"/>
      <c r="I64" s="155"/>
      <c r="J64" s="155"/>
      <c r="K64" s="155"/>
      <c r="L64" s="155"/>
      <c r="M64" s="155"/>
    </row>
    <row r="65" spans="1:14" s="2" customFormat="1">
      <c r="A65" s="159" t="str">
        <f>$A$15</f>
        <v>e</v>
      </c>
      <c r="B65" s="170" t="str">
        <f>INDEX($B$11:$B$15,MATCH($A65,$A$11:$A$15,0),0)&amp;""</f>
        <v>Losses discretionary reward scheme</v>
      </c>
      <c r="C65" s="154" t="str">
        <f>'RFPR cover'!$C$14</f>
        <v>£m 12/13</v>
      </c>
      <c r="D65" s="781">
        <f>INDEX($D$11:$K$17,MATCH($A65,$A$11:$A$17,0),0)</f>
        <v>0</v>
      </c>
      <c r="E65" s="781">
        <f t="shared" ref="E65:K65" si="21">INDEX($D$11:$K$17,MATCH($A65,$A$11:$A$17,0),0)</f>
        <v>0.04</v>
      </c>
      <c r="F65" s="781">
        <f t="shared" si="21"/>
        <v>0</v>
      </c>
      <c r="G65" s="781">
        <f t="shared" si="21"/>
        <v>0</v>
      </c>
      <c r="H65" s="781">
        <f t="shared" si="21"/>
        <v>0</v>
      </c>
      <c r="I65" s="781">
        <f t="shared" si="21"/>
        <v>0</v>
      </c>
      <c r="J65" s="781">
        <f t="shared" si="21"/>
        <v>0</v>
      </c>
      <c r="K65" s="781">
        <f t="shared" si="21"/>
        <v>0</v>
      </c>
      <c r="L65" s="670">
        <f>SUM(D65:INDEX(D65:K65,0,MATCH('RFPR cover'!$C$7,$D$6:$K$6,0)))</f>
        <v>0.04</v>
      </c>
      <c r="M65" s="671">
        <f>SUM(D65:K65)</f>
        <v>0.04</v>
      </c>
    </row>
    <row r="66" spans="1:14" s="2" customFormat="1">
      <c r="A66" s="159"/>
      <c r="B66" s="35" t="s">
        <v>201</v>
      </c>
      <c r="C66" s="293" t="s">
        <v>209</v>
      </c>
      <c r="D66" s="883">
        <f>IF($C66=$B$33,$B$33,INDEX(Data!$G$14:$G$30,MATCH('R5 - Output Incentives'!D$6+RIGHT('R5 - Output Incentives'!$C66,2),Data!$C$14:$C$30,0),0))</f>
        <v>0.2</v>
      </c>
      <c r="E66" s="884">
        <f>IF($C66=$B$33,$B$33,INDEX(Data!$G$14:$G$30,MATCH('R5 - Output Incentives'!E$6+RIGHT('R5 - Output Incentives'!$C66,2),Data!$C$14:$C$30,0),0))</f>
        <v>0.19</v>
      </c>
      <c r="F66" s="884">
        <f>IF($C66=$B$33,$B$33,INDEX(Data!$G$14:$G$30,MATCH('R5 - Output Incentives'!F$6+RIGHT('R5 - Output Incentives'!$C66,2),Data!$C$14:$C$30,0),0))</f>
        <v>0.19</v>
      </c>
      <c r="G66" s="884">
        <f>IF($C66=$B$33,$B$33,INDEX(Data!$G$14:$G$30,MATCH('R5 - Output Incentives'!G$6+RIGHT('R5 - Output Incentives'!$C66,2),Data!$C$14:$C$30,0),0))</f>
        <v>0.19</v>
      </c>
      <c r="H66" s="884">
        <f>IF($C66=$B$33,$B$33,INDEX(Data!$G$14:$G$30,MATCH('R5 - Output Incentives'!H$6+RIGHT('R5 - Output Incentives'!$C66,2),Data!$C$14:$C$30,0),0))</f>
        <v>0.19</v>
      </c>
      <c r="I66" s="884">
        <f>IF($C66=$B$33,$B$33,INDEX(Data!$G$14:$G$30,MATCH('R5 - Output Incentives'!I$6+RIGHT('R5 - Output Incentives'!$C66,2),Data!$C$14:$C$30,0),0))</f>
        <v>0.19</v>
      </c>
      <c r="J66" s="884">
        <f>IF($C66=$B$33,$B$33,INDEX(Data!$G$14:$G$30,MATCH('R5 - Output Incentives'!J$6+RIGHT('R5 - Output Incentives'!$C66,2),Data!$C$14:$C$30,0),0))</f>
        <v>0.19</v>
      </c>
      <c r="K66" s="885">
        <f>IF($C66=$B$33,$B$33,INDEX(Data!$G$14:$G$30,MATCH('R5 - Output Incentives'!K$6+RIGHT('R5 - Output Incentives'!$C66,2),Data!$C$14:$C$30,0),0))</f>
        <v>0.19</v>
      </c>
      <c r="L66" s="783"/>
      <c r="M66" s="784"/>
    </row>
    <row r="67" spans="1:14" s="2" customFormat="1">
      <c r="A67" s="159"/>
      <c r="B67" s="35" t="s">
        <v>210</v>
      </c>
      <c r="C67" s="154"/>
      <c r="D67" s="609">
        <f>IFERROR(D65*(1-D66),0)</f>
        <v>0</v>
      </c>
      <c r="E67" s="610">
        <f t="shared" ref="E67:K67" si="22">IFERROR(E65*(1-E66),0)</f>
        <v>3.2400000000000005E-2</v>
      </c>
      <c r="F67" s="610">
        <f t="shared" si="22"/>
        <v>0</v>
      </c>
      <c r="G67" s="610">
        <f t="shared" si="22"/>
        <v>0</v>
      </c>
      <c r="H67" s="610">
        <f t="shared" si="22"/>
        <v>0</v>
      </c>
      <c r="I67" s="610">
        <f t="shared" si="22"/>
        <v>0</v>
      </c>
      <c r="J67" s="610">
        <f t="shared" si="22"/>
        <v>0</v>
      </c>
      <c r="K67" s="610">
        <f t="shared" si="22"/>
        <v>0</v>
      </c>
      <c r="L67" s="668">
        <f>SUM(D67:INDEX(D67:K67,0,MATCH('RFPR cover'!$C$7,$D$6:$K$6,0)))</f>
        <v>3.2400000000000005E-2</v>
      </c>
      <c r="M67" s="669">
        <f>SUM(D67:K67)</f>
        <v>3.2400000000000005E-2</v>
      </c>
    </row>
    <row r="68" spans="1:14" s="2" customFormat="1">
      <c r="A68" s="159"/>
      <c r="B68" s="51"/>
      <c r="C68" s="155"/>
      <c r="D68" s="155"/>
      <c r="E68" s="155"/>
      <c r="F68" s="155"/>
      <c r="G68" s="155"/>
      <c r="H68" s="155"/>
      <c r="I68" s="155"/>
      <c r="J68" s="155"/>
      <c r="K68" s="155"/>
      <c r="L68" s="155"/>
      <c r="M68" s="155"/>
    </row>
    <row r="69" spans="1:14" s="2" customFormat="1">
      <c r="A69" s="159" t="str">
        <f>$A$16</f>
        <v>f</v>
      </c>
      <c r="B69" s="170" t="str">
        <f>INDEX($B$11:$B$17,MATCH($A69,$A$11:$A$17,0),0)&amp;""</f>
        <v/>
      </c>
      <c r="C69" s="154" t="str">
        <f>'RFPR cover'!$C$14</f>
        <v>£m 12/13</v>
      </c>
      <c r="D69" s="781">
        <f>INDEX($D$11:$K$17,MATCH($A69,$A$11:$A$17,0),0)</f>
        <v>0</v>
      </c>
      <c r="E69" s="781">
        <f t="shared" ref="E69:K69" si="23">INDEX($D$11:$K$17,MATCH($A69,$A$11:$A$17,0),0)</f>
        <v>0</v>
      </c>
      <c r="F69" s="781">
        <f t="shared" si="23"/>
        <v>0</v>
      </c>
      <c r="G69" s="781">
        <f t="shared" si="23"/>
        <v>0</v>
      </c>
      <c r="H69" s="781">
        <f t="shared" si="23"/>
        <v>0</v>
      </c>
      <c r="I69" s="781">
        <f t="shared" si="23"/>
        <v>0</v>
      </c>
      <c r="J69" s="781">
        <f t="shared" si="23"/>
        <v>0</v>
      </c>
      <c r="K69" s="781">
        <f t="shared" si="23"/>
        <v>0</v>
      </c>
      <c r="L69" s="670">
        <f>SUM(D69:INDEX(D69:K69,0,MATCH('RFPR cover'!$C$7,$D$6:$K$6,0)))</f>
        <v>0</v>
      </c>
      <c r="M69" s="671">
        <f>SUM(D69:K69)</f>
        <v>0</v>
      </c>
    </row>
    <row r="70" spans="1:14" s="2" customFormat="1">
      <c r="A70" s="159"/>
      <c r="B70" s="35" t="s">
        <v>201</v>
      </c>
      <c r="C70" s="293" t="s">
        <v>209</v>
      </c>
      <c r="D70" s="883">
        <f>IF($C70=$B$33,$B$33,INDEX(Data!$G$14:$G$30,MATCH('R5 - Output Incentives'!D$6+RIGHT('R5 - Output Incentives'!$C70,2),Data!$C$14:$C$30,0),0))</f>
        <v>0.2</v>
      </c>
      <c r="E70" s="884">
        <f>IF($C70=$B$33,$B$33,INDEX(Data!$G$14:$G$30,MATCH('R5 - Output Incentives'!E$6+RIGHT('R5 - Output Incentives'!$C70,2),Data!$C$14:$C$30,0),0))</f>
        <v>0.19</v>
      </c>
      <c r="F70" s="884">
        <f>IF($C70=$B$33,$B$33,INDEX(Data!$G$14:$G$30,MATCH('R5 - Output Incentives'!F$6+RIGHT('R5 - Output Incentives'!$C70,2),Data!$C$14:$C$30,0),0))</f>
        <v>0.19</v>
      </c>
      <c r="G70" s="884">
        <f>IF($C70=$B$33,$B$33,INDEX(Data!$G$14:$G$30,MATCH('R5 - Output Incentives'!G$6+RIGHT('R5 - Output Incentives'!$C70,2),Data!$C$14:$C$30,0),0))</f>
        <v>0.19</v>
      </c>
      <c r="H70" s="884">
        <f>IF($C70=$B$33,$B$33,INDEX(Data!$G$14:$G$30,MATCH('R5 - Output Incentives'!H$6+RIGHT('R5 - Output Incentives'!$C70,2),Data!$C$14:$C$30,0),0))</f>
        <v>0.19</v>
      </c>
      <c r="I70" s="884">
        <f>IF($C70=$B$33,$B$33,INDEX(Data!$G$14:$G$30,MATCH('R5 - Output Incentives'!I$6+RIGHT('R5 - Output Incentives'!$C70,2),Data!$C$14:$C$30,0),0))</f>
        <v>0.19</v>
      </c>
      <c r="J70" s="884">
        <f>IF($C70=$B$33,$B$33,INDEX(Data!$G$14:$G$30,MATCH('R5 - Output Incentives'!J$6+RIGHT('R5 - Output Incentives'!$C70,2),Data!$C$14:$C$30,0),0))</f>
        <v>0.19</v>
      </c>
      <c r="K70" s="885">
        <f>IF($C70=$B$33,$B$33,INDEX(Data!$G$14:$G$30,MATCH('R5 - Output Incentives'!K$6+RIGHT('R5 - Output Incentives'!$C70,2),Data!$C$14:$C$30,0),0))</f>
        <v>0.19</v>
      </c>
      <c r="L70" s="783"/>
      <c r="M70" s="784"/>
    </row>
    <row r="71" spans="1:14" s="2" customFormat="1">
      <c r="A71" s="159"/>
      <c r="B71" s="35" t="s">
        <v>210</v>
      </c>
      <c r="C71" s="154"/>
      <c r="D71" s="609">
        <f>IFERROR(D69*(1-D70),0)</f>
        <v>0</v>
      </c>
      <c r="E71" s="610">
        <f t="shared" ref="E71:K71" si="24">IFERROR(E69*(1-E70),0)</f>
        <v>0</v>
      </c>
      <c r="F71" s="610">
        <f t="shared" si="24"/>
        <v>0</v>
      </c>
      <c r="G71" s="610">
        <f t="shared" si="24"/>
        <v>0</v>
      </c>
      <c r="H71" s="610">
        <f t="shared" si="24"/>
        <v>0</v>
      </c>
      <c r="I71" s="610">
        <f t="shared" si="24"/>
        <v>0</v>
      </c>
      <c r="J71" s="610">
        <f t="shared" si="24"/>
        <v>0</v>
      </c>
      <c r="K71" s="610">
        <f t="shared" si="24"/>
        <v>0</v>
      </c>
      <c r="L71" s="668">
        <f>SUM(D71:INDEX(D71:K71,0,MATCH('RFPR cover'!$C$7,$D$6:$K$6,0)))</f>
        <v>0</v>
      </c>
      <c r="M71" s="669">
        <f>SUM(D71:K71)</f>
        <v>0</v>
      </c>
    </row>
    <row r="72" spans="1:14" s="2" customFormat="1">
      <c r="A72" s="159"/>
      <c r="B72" s="51"/>
      <c r="C72" s="155"/>
      <c r="D72" s="155"/>
      <c r="E72" s="155"/>
      <c r="F72" s="155"/>
      <c r="G72" s="155"/>
      <c r="H72" s="155"/>
      <c r="I72" s="155"/>
      <c r="J72" s="155"/>
      <c r="K72" s="155"/>
      <c r="L72" s="155"/>
      <c r="M72" s="155"/>
    </row>
    <row r="73" spans="1:14" s="2" customFormat="1">
      <c r="A73" s="159" t="s">
        <v>479</v>
      </c>
      <c r="B73" s="170" t="str">
        <f>INDEX($B$11:$B$17,MATCH($A73,$A$11:$A$17,0),0)&amp;""</f>
        <v/>
      </c>
      <c r="C73" s="154" t="str">
        <f>'RFPR cover'!$C$14</f>
        <v>£m 12/13</v>
      </c>
      <c r="D73" s="781">
        <f>INDEX($D$11:$K$17,MATCH($A73,$A$11:$A$17,0),0)</f>
        <v>0</v>
      </c>
      <c r="E73" s="781">
        <f t="shared" ref="E73:K73" si="25">INDEX($D$11:$K$17,MATCH($A73,$A$11:$A$17,0),0)</f>
        <v>0</v>
      </c>
      <c r="F73" s="781">
        <f t="shared" si="25"/>
        <v>0</v>
      </c>
      <c r="G73" s="781">
        <f t="shared" si="25"/>
        <v>0</v>
      </c>
      <c r="H73" s="781">
        <f t="shared" si="25"/>
        <v>0</v>
      </c>
      <c r="I73" s="781">
        <f t="shared" si="25"/>
        <v>0</v>
      </c>
      <c r="J73" s="781">
        <f t="shared" si="25"/>
        <v>0</v>
      </c>
      <c r="K73" s="781">
        <f t="shared" si="25"/>
        <v>0</v>
      </c>
      <c r="L73" s="670">
        <f>SUM(D73:INDEX(D73:K73,0,MATCH('RFPR cover'!$C$7,$D$6:$K$6,0)))</f>
        <v>0</v>
      </c>
      <c r="M73" s="671">
        <f>SUM(D73:K73)</f>
        <v>0</v>
      </c>
    </row>
    <row r="74" spans="1:14" s="2" customFormat="1">
      <c r="A74" s="159"/>
      <c r="B74" s="35" t="s">
        <v>201</v>
      </c>
      <c r="C74" s="293" t="s">
        <v>209</v>
      </c>
      <c r="D74" s="883">
        <f>IF($C74=$B$33,$B$33,INDEX(Data!$G$14:$G$30,MATCH('R5 - Output Incentives'!D$6+RIGHT('R5 - Output Incentives'!$C74,2),Data!$C$14:$C$30,0),0))</f>
        <v>0.2</v>
      </c>
      <c r="E74" s="884">
        <f>IF($C74=$B$33,$B$33,INDEX(Data!$G$14:$G$30,MATCH('R5 - Output Incentives'!E$6+RIGHT('R5 - Output Incentives'!$C74,2),Data!$C$14:$C$30,0),0))</f>
        <v>0.19</v>
      </c>
      <c r="F74" s="884">
        <f>IF($C74=$B$33,$B$33,INDEX(Data!$G$14:$G$30,MATCH('R5 - Output Incentives'!F$6+RIGHT('R5 - Output Incentives'!$C74,2),Data!$C$14:$C$30,0),0))</f>
        <v>0.19</v>
      </c>
      <c r="G74" s="884">
        <f>IF($C74=$B$33,$B$33,INDEX(Data!$G$14:$G$30,MATCH('R5 - Output Incentives'!G$6+RIGHT('R5 - Output Incentives'!$C74,2),Data!$C$14:$C$30,0),0))</f>
        <v>0.19</v>
      </c>
      <c r="H74" s="884">
        <f>IF($C74=$B$33,$B$33,INDEX(Data!$G$14:$G$30,MATCH('R5 - Output Incentives'!H$6+RIGHT('R5 - Output Incentives'!$C74,2),Data!$C$14:$C$30,0),0))</f>
        <v>0.19</v>
      </c>
      <c r="I74" s="884">
        <f>IF($C74=$B$33,$B$33,INDEX(Data!$G$14:$G$30,MATCH('R5 - Output Incentives'!I$6+RIGHT('R5 - Output Incentives'!$C74,2),Data!$C$14:$C$30,0),0))</f>
        <v>0.19</v>
      </c>
      <c r="J74" s="884">
        <f>IF($C74=$B$33,$B$33,INDEX(Data!$G$14:$G$30,MATCH('R5 - Output Incentives'!J$6+RIGHT('R5 - Output Incentives'!$C74,2),Data!$C$14:$C$30,0),0))</f>
        <v>0.19</v>
      </c>
      <c r="K74" s="885">
        <f>IF($C74=$B$33,$B$33,INDEX(Data!$G$14:$G$30,MATCH('R5 - Output Incentives'!K$6+RIGHT('R5 - Output Incentives'!$C74,2),Data!$C$14:$C$30,0),0))</f>
        <v>0.19</v>
      </c>
      <c r="L74" s="783"/>
      <c r="M74" s="784"/>
    </row>
    <row r="75" spans="1:14" s="2" customFormat="1">
      <c r="A75" s="159"/>
      <c r="B75" s="35" t="s">
        <v>210</v>
      </c>
      <c r="C75" s="154"/>
      <c r="D75" s="609">
        <f>IFERROR(D73*(1-D74),0)</f>
        <v>0</v>
      </c>
      <c r="E75" s="610">
        <f t="shared" ref="E75:K75" si="26">IFERROR(E73*(1-E74),0)</f>
        <v>0</v>
      </c>
      <c r="F75" s="610">
        <f t="shared" si="26"/>
        <v>0</v>
      </c>
      <c r="G75" s="610">
        <f t="shared" si="26"/>
        <v>0</v>
      </c>
      <c r="H75" s="610">
        <f t="shared" si="26"/>
        <v>0</v>
      </c>
      <c r="I75" s="610">
        <f t="shared" si="26"/>
        <v>0</v>
      </c>
      <c r="J75" s="610">
        <f t="shared" si="26"/>
        <v>0</v>
      </c>
      <c r="K75" s="610">
        <f t="shared" si="26"/>
        <v>0</v>
      </c>
      <c r="L75" s="668">
        <f>SUM(D75:INDEX(D75:K75,0,MATCH('RFPR cover'!$C$7,$D$6:$K$6,0)))</f>
        <v>0</v>
      </c>
      <c r="M75" s="669">
        <f>SUM(D75:K75)</f>
        <v>0</v>
      </c>
    </row>
    <row r="76" spans="1:14" s="532" customFormat="1" ht="14.25" customHeight="1">
      <c r="A76" s="531"/>
      <c r="C76" s="533"/>
      <c r="D76" s="534"/>
      <c r="E76" s="534"/>
      <c r="F76" s="534"/>
      <c r="G76" s="534"/>
      <c r="H76" s="534"/>
      <c r="I76" s="534"/>
      <c r="J76" s="534"/>
      <c r="K76" s="534"/>
      <c r="L76" s="535"/>
      <c r="M76" s="535"/>
    </row>
    <row r="77" spans="1:14" s="2" customFormat="1">
      <c r="B77" s="115" t="s">
        <v>396</v>
      </c>
      <c r="C77" s="149"/>
      <c r="D77" s="132"/>
      <c r="E77" s="132"/>
      <c r="F77" s="132"/>
      <c r="G77" s="132"/>
      <c r="H77" s="132"/>
      <c r="I77" s="132"/>
      <c r="J77" s="132"/>
      <c r="K77" s="132"/>
      <c r="L77" s="81"/>
      <c r="M77" s="81"/>
      <c r="N77" s="81"/>
    </row>
    <row r="78" spans="1:14" s="2" customFormat="1">
      <c r="B78" s="366" t="s">
        <v>395</v>
      </c>
      <c r="C78" s="290"/>
      <c r="D78" s="291"/>
      <c r="E78" s="291"/>
      <c r="F78" s="291"/>
      <c r="G78" s="291"/>
      <c r="H78" s="291"/>
      <c r="I78" s="291"/>
      <c r="J78" s="291"/>
      <c r="K78" s="291"/>
      <c r="L78" s="292"/>
      <c r="M78" s="292"/>
      <c r="N78" s="292"/>
    </row>
    <row r="79" spans="1:14" s="2" customFormat="1">
      <c r="B79" s="366" t="s">
        <v>397</v>
      </c>
      <c r="C79" s="290"/>
      <c r="D79" s="291"/>
      <c r="E79" s="291"/>
      <c r="F79" s="291"/>
      <c r="G79" s="291"/>
      <c r="H79" s="291"/>
      <c r="I79" s="291"/>
      <c r="J79" s="291"/>
      <c r="K79" s="291"/>
      <c r="L79" s="292"/>
      <c r="M79" s="292"/>
      <c r="N79" s="292"/>
    </row>
    <row r="80" spans="1:14" s="532" customFormat="1">
      <c r="B80" s="537"/>
      <c r="C80" s="538"/>
      <c r="D80" s="539"/>
      <c r="E80" s="539"/>
      <c r="F80" s="539"/>
      <c r="G80" s="539"/>
      <c r="H80" s="539"/>
      <c r="I80" s="539"/>
      <c r="J80" s="539"/>
      <c r="K80" s="539"/>
    </row>
    <row r="81" spans="1:12" s="2" customFormat="1">
      <c r="B81" s="12"/>
      <c r="C81" s="540" t="s">
        <v>398</v>
      </c>
      <c r="D81" s="543" t="str">
        <f t="shared" ref="D81:K81" si="27">IF($C50=$B$33,D$6,IF(D$6-RIGHT($C50,1)&lt;$D$6,"Pre-RIIO",D$6-RIGHT($C50,1)))</f>
        <v>Pre-RIIO</v>
      </c>
      <c r="E81" s="544" t="str">
        <f t="shared" si="27"/>
        <v>Pre-RIIO</v>
      </c>
      <c r="F81" s="544">
        <f t="shared" si="27"/>
        <v>2016</v>
      </c>
      <c r="G81" s="544">
        <f t="shared" si="27"/>
        <v>2017</v>
      </c>
      <c r="H81" s="544">
        <f t="shared" si="27"/>
        <v>2018</v>
      </c>
      <c r="I81" s="544">
        <f t="shared" si="27"/>
        <v>2019</v>
      </c>
      <c r="J81" s="544">
        <f t="shared" si="27"/>
        <v>2020</v>
      </c>
      <c r="K81" s="545">
        <f t="shared" si="27"/>
        <v>2021</v>
      </c>
    </row>
    <row r="82" spans="1:12" s="2" customFormat="1">
      <c r="A82" s="3" t="str">
        <f>A11</f>
        <v>a</v>
      </c>
      <c r="B82" s="128" t="str">
        <f>B11&amp;""</f>
        <v>Broad measure of customer service</v>
      </c>
      <c r="C82" s="135" t="s">
        <v>128</v>
      </c>
      <c r="D82" s="637">
        <v>3.7392125424749985</v>
      </c>
      <c r="E82" s="638">
        <v>3.5075040761761183</v>
      </c>
      <c r="F82" s="638">
        <v>5.8931344465106772</v>
      </c>
      <c r="G82" s="638">
        <v>5.8803477720000048</v>
      </c>
      <c r="H82" s="616">
        <f>+F11*Data!E$34</f>
        <v>6.1837947914234412</v>
      </c>
      <c r="I82" s="616">
        <f>+G11*Data!F$34</f>
        <v>6.5170045266578134</v>
      </c>
      <c r="J82" s="616">
        <f>+H11*Data!G$34</f>
        <v>6.9094416402711074</v>
      </c>
      <c r="K82" s="616">
        <f>+I11*Data!H$34</f>
        <v>7.026902148155715</v>
      </c>
    </row>
    <row r="83" spans="1:12" s="2" customFormat="1">
      <c r="A83" s="3"/>
      <c r="B83" s="128"/>
      <c r="C83" s="135"/>
      <c r="D83" s="135"/>
      <c r="E83" s="135"/>
      <c r="F83" s="135"/>
      <c r="G83" s="135"/>
      <c r="H83" s="135"/>
      <c r="I83" s="135"/>
      <c r="J83" s="135"/>
      <c r="K83" s="135"/>
      <c r="L83" s="135"/>
    </row>
    <row r="84" spans="1:12" s="2" customFormat="1">
      <c r="A84" s="3"/>
      <c r="B84" s="128"/>
      <c r="C84" s="540" t="s">
        <v>398</v>
      </c>
      <c r="D84" s="543" t="str">
        <f t="shared" ref="D84:K84" si="28">IF($C54=$B$33,D$6,IF(D$6-RIGHT($C54,1)&lt;$D$6,"Pre-RIIO",D$6-RIGHT($C54,1)))</f>
        <v>Pre-RIIO</v>
      </c>
      <c r="E84" s="544" t="str">
        <f t="shared" si="28"/>
        <v>Pre-RIIO</v>
      </c>
      <c r="F84" s="544">
        <f t="shared" si="28"/>
        <v>2016</v>
      </c>
      <c r="G84" s="544">
        <f t="shared" si="28"/>
        <v>2017</v>
      </c>
      <c r="H84" s="544">
        <f t="shared" si="28"/>
        <v>2018</v>
      </c>
      <c r="I84" s="544">
        <f t="shared" si="28"/>
        <v>2019</v>
      </c>
      <c r="J84" s="544">
        <f t="shared" si="28"/>
        <v>2020</v>
      </c>
      <c r="K84" s="545">
        <f t="shared" si="28"/>
        <v>2021</v>
      </c>
    </row>
    <row r="85" spans="1:12" s="2" customFormat="1">
      <c r="A85" s="3" t="str">
        <f>A12</f>
        <v>b</v>
      </c>
      <c r="B85" s="128" t="str">
        <f>B12&amp;""</f>
        <v>Interruptions-related quality of service</v>
      </c>
      <c r="C85" s="135" t="s">
        <v>128</v>
      </c>
      <c r="D85" s="637">
        <v>25.42355461232999</v>
      </c>
      <c r="E85" s="638">
        <v>28.25863458984</v>
      </c>
      <c r="F85" s="638">
        <v>20.670442760017579</v>
      </c>
      <c r="G85" s="638">
        <v>21.327014282394693</v>
      </c>
      <c r="H85" s="616">
        <v>18.204001200609014</v>
      </c>
      <c r="I85" s="616">
        <f>+G12*(1+(Data!H$63*Data!$E$83)+(Data!$C$83*(1-Data!$E$83)))*(1+(Data!I$63*Data!$E$83)+(Data!$C$83*(1-Data!$E$83)))*Data!H$34</f>
        <v>21.693767124086243</v>
      </c>
      <c r="J85" s="616">
        <f>+H12*(1+(Data!I$63*Data!$E$83)+(Data!$C$83*(1-Data!$E$83)))*(1+(Data!J$63*Data!$E$83)+(Data!$C$83*(1-Data!$E$83)))*Data!I$34</f>
        <v>22.295002018589756</v>
      </c>
      <c r="K85" s="616">
        <f>+I12*(1+(Data!J$63*Data!$E$83)+(Data!$C$83*(1-Data!$E$83)))*(1+(Data!K$63*Data!$E$83)+(Data!$C$83*(1-Data!$E$83)))*Data!J$34</f>
        <v>19.193590523149222</v>
      </c>
    </row>
    <row r="86" spans="1:12" s="2" customFormat="1">
      <c r="A86" s="3"/>
      <c r="B86" s="128"/>
      <c r="C86" s="135"/>
      <c r="D86" s="135"/>
      <c r="E86" s="135"/>
      <c r="F86" s="135"/>
      <c r="G86" s="135"/>
      <c r="H86" s="135"/>
      <c r="I86" s="135"/>
      <c r="J86" s="135"/>
      <c r="K86" s="135"/>
      <c r="L86" s="135"/>
    </row>
    <row r="87" spans="1:12" s="2" customFormat="1">
      <c r="A87" s="3"/>
      <c r="B87" s="128"/>
      <c r="C87" s="540" t="s">
        <v>398</v>
      </c>
      <c r="D87" s="543" t="str">
        <f t="shared" ref="D87:K87" si="29">IF($C58=$B$33,D$6,IF(D$6-RIGHT($C58,1)&lt;$D$6,"Pre-RIIO",D$6-RIGHT($C58,1)))</f>
        <v>Pre-RIIO</v>
      </c>
      <c r="E87" s="544" t="str">
        <f t="shared" si="29"/>
        <v>Pre-RIIO</v>
      </c>
      <c r="F87" s="544" t="str">
        <f t="shared" si="29"/>
        <v>Pre-RIIO</v>
      </c>
      <c r="G87" s="544">
        <f t="shared" si="29"/>
        <v>2016</v>
      </c>
      <c r="H87" s="544">
        <f t="shared" si="29"/>
        <v>2017</v>
      </c>
      <c r="I87" s="544">
        <f t="shared" si="29"/>
        <v>2018</v>
      </c>
      <c r="J87" s="544">
        <f t="shared" si="29"/>
        <v>2019</v>
      </c>
      <c r="K87" s="545">
        <f t="shared" si="29"/>
        <v>2020</v>
      </c>
    </row>
    <row r="88" spans="1:12" s="2" customFormat="1">
      <c r="A88" s="3" t="str">
        <f>A13</f>
        <v>c</v>
      </c>
      <c r="B88" s="128" t="str">
        <f>B13&amp;""</f>
        <v>Incentive on connections engagement</v>
      </c>
      <c r="C88" s="135" t="s">
        <v>128</v>
      </c>
      <c r="D88" s="637">
        <v>0</v>
      </c>
      <c r="E88" s="638">
        <v>0</v>
      </c>
      <c r="F88" s="638">
        <v>0</v>
      </c>
      <c r="G88" s="638">
        <v>0</v>
      </c>
      <c r="H88" s="616">
        <f>+E13*Data!D$34</f>
        <v>0</v>
      </c>
      <c r="I88" s="616">
        <f>+F13*Data!E$34</f>
        <v>0</v>
      </c>
      <c r="J88" s="616">
        <f>+G13*Data!F$34</f>
        <v>0</v>
      </c>
      <c r="K88" s="616">
        <f>+H13*Data!G$34</f>
        <v>0</v>
      </c>
    </row>
    <row r="89" spans="1:12" s="2" customFormat="1">
      <c r="A89" s="3"/>
      <c r="B89" s="128"/>
      <c r="C89" s="135"/>
      <c r="D89" s="135"/>
      <c r="E89" s="135"/>
      <c r="F89" s="135"/>
      <c r="G89" s="135"/>
      <c r="H89" s="135"/>
      <c r="I89" s="135"/>
      <c r="J89" s="135"/>
      <c r="K89" s="135"/>
      <c r="L89" s="135"/>
    </row>
    <row r="90" spans="1:12" s="2" customFormat="1">
      <c r="A90" s="3"/>
      <c r="B90" s="128"/>
      <c r="C90" s="540" t="s">
        <v>398</v>
      </c>
      <c r="D90" s="543" t="str">
        <f t="shared" ref="D90:K90" si="30">IF($C62=$B$33,D$6,IF(D$6-RIGHT($C62,1)&lt;$D$6,"Pre-RIIO",D$6-RIGHT($C62,1)))</f>
        <v>Pre-RIIO</v>
      </c>
      <c r="E90" s="544" t="str">
        <f t="shared" si="30"/>
        <v>Pre-RIIO</v>
      </c>
      <c r="F90" s="544">
        <f t="shared" si="30"/>
        <v>2016</v>
      </c>
      <c r="G90" s="544">
        <f t="shared" si="30"/>
        <v>2017</v>
      </c>
      <c r="H90" s="544">
        <f t="shared" si="30"/>
        <v>2018</v>
      </c>
      <c r="I90" s="544">
        <f t="shared" si="30"/>
        <v>2019</v>
      </c>
      <c r="J90" s="544">
        <f t="shared" si="30"/>
        <v>2020</v>
      </c>
      <c r="K90" s="545">
        <f t="shared" si="30"/>
        <v>2021</v>
      </c>
    </row>
    <row r="91" spans="1:12" s="2" customFormat="1">
      <c r="A91" s="3" t="str">
        <f>A14</f>
        <v>d</v>
      </c>
      <c r="B91" s="128" t="str">
        <f>B14&amp;""</f>
        <v>Time to Connect Incentive</v>
      </c>
      <c r="C91" s="135" t="s">
        <v>128</v>
      </c>
      <c r="D91" s="637">
        <v>0</v>
      </c>
      <c r="E91" s="638">
        <v>0</v>
      </c>
      <c r="F91" s="638">
        <v>1.6365988985388784</v>
      </c>
      <c r="G91" s="638">
        <v>1.4239283999999999</v>
      </c>
      <c r="H91" s="616">
        <f>+F14*Data!E$34</f>
        <v>1.7977022580974764</v>
      </c>
      <c r="I91" s="616">
        <f>+G14*Data!F$34</f>
        <v>1.8526322672933482</v>
      </c>
      <c r="J91" s="616">
        <f>+H14*Data!G$34</f>
        <v>1.8873222904598217</v>
      </c>
      <c r="K91" s="616">
        <f>+I14*Data!H$34</f>
        <v>1.8445700128408919</v>
      </c>
    </row>
    <row r="92" spans="1:12" s="2" customFormat="1">
      <c r="A92" s="3"/>
      <c r="B92" s="128"/>
      <c r="C92" s="135"/>
      <c r="D92" s="135"/>
      <c r="E92" s="135"/>
      <c r="F92" s="135"/>
      <c r="G92" s="135"/>
      <c r="H92" s="135"/>
      <c r="I92" s="135"/>
      <c r="J92" s="135"/>
      <c r="K92" s="135"/>
      <c r="L92" s="135"/>
    </row>
    <row r="93" spans="1:12" s="2" customFormat="1">
      <c r="A93" s="3"/>
      <c r="B93" s="128"/>
      <c r="C93" s="540" t="s">
        <v>398</v>
      </c>
      <c r="D93" s="543" t="str">
        <f>IF($C66=$B$33,D$6,IF(D$6-RIGHT($C66,1)&lt;$D$6,"Pre-RIIO",D$6-RIGHT($C66,1)))</f>
        <v>Pre-RIIO</v>
      </c>
      <c r="E93" s="544">
        <f t="shared" ref="E93:K93" si="31">IF($C66=$B$33,E$6,IF(E$6-RIGHT($C66,1)&lt;$D$6,"Pre-RIIO",E$6-RIGHT($C66,1)))</f>
        <v>2016</v>
      </c>
      <c r="F93" s="544">
        <f t="shared" si="31"/>
        <v>2017</v>
      </c>
      <c r="G93" s="544">
        <f t="shared" si="31"/>
        <v>2018</v>
      </c>
      <c r="H93" s="544">
        <f t="shared" si="31"/>
        <v>2019</v>
      </c>
      <c r="I93" s="544">
        <f t="shared" si="31"/>
        <v>2020</v>
      </c>
      <c r="J93" s="544">
        <f t="shared" si="31"/>
        <v>2021</v>
      </c>
      <c r="K93" s="545">
        <f t="shared" si="31"/>
        <v>2022</v>
      </c>
    </row>
    <row r="94" spans="1:12" s="2" customFormat="1">
      <c r="A94" s="3" t="str">
        <f>A15</f>
        <v>e</v>
      </c>
      <c r="B94" s="128" t="str">
        <f>B15&amp;""</f>
        <v>Losses discretionary reward scheme</v>
      </c>
      <c r="C94" s="135" t="s">
        <v>128</v>
      </c>
      <c r="D94" s="637">
        <v>0</v>
      </c>
      <c r="E94" s="638">
        <v>0</v>
      </c>
      <c r="F94" s="638">
        <v>4.4839999999999998E-2</v>
      </c>
      <c r="G94" s="638">
        <v>0</v>
      </c>
      <c r="H94" s="616">
        <f>+G15*Data!F$34</f>
        <v>0</v>
      </c>
      <c r="I94" s="616">
        <f>+H15*Data!G$34</f>
        <v>0</v>
      </c>
      <c r="J94" s="616">
        <f>+I15*Data!H$34</f>
        <v>0</v>
      </c>
      <c r="K94" s="616">
        <f>+J15*Data!I$34</f>
        <v>0</v>
      </c>
    </row>
    <row r="95" spans="1:12" s="2" customFormat="1">
      <c r="A95" s="3"/>
      <c r="B95" s="128"/>
      <c r="C95" s="135"/>
      <c r="D95" s="135"/>
      <c r="E95" s="135"/>
      <c r="F95" s="135"/>
      <c r="G95" s="135"/>
      <c r="H95" s="135"/>
      <c r="I95" s="135"/>
      <c r="J95" s="135"/>
      <c r="K95" s="135"/>
      <c r="L95" s="135"/>
    </row>
    <row r="96" spans="1:12" s="2" customFormat="1">
      <c r="A96" s="3"/>
      <c r="B96" s="128"/>
      <c r="C96" s="540" t="s">
        <v>398</v>
      </c>
      <c r="D96" s="543" t="str">
        <f>IF($C70=$B$33,D$6,IF(D$6-RIGHT($C70,1)&lt;$D$6,"Pre-RIIO",D$6-RIGHT($C70,1)))</f>
        <v>Pre-RIIO</v>
      </c>
      <c r="E96" s="543">
        <f t="shared" ref="E96:K96" si="32">IF($C70=$B$33,E$6,IF(E$6-RIGHT($C70,1)&lt;$D$6,"Pre-RIIO",E$6-RIGHT($C70,1)))</f>
        <v>2016</v>
      </c>
      <c r="F96" s="543">
        <f t="shared" si="32"/>
        <v>2017</v>
      </c>
      <c r="G96" s="543">
        <f t="shared" si="32"/>
        <v>2018</v>
      </c>
      <c r="H96" s="543">
        <f t="shared" si="32"/>
        <v>2019</v>
      </c>
      <c r="I96" s="543">
        <f t="shared" si="32"/>
        <v>2020</v>
      </c>
      <c r="J96" s="543">
        <f t="shared" si="32"/>
        <v>2021</v>
      </c>
      <c r="K96" s="543">
        <f t="shared" si="32"/>
        <v>2022</v>
      </c>
    </row>
    <row r="97" spans="1:13" s="2" customFormat="1">
      <c r="A97" s="3" t="str">
        <f>A16</f>
        <v>f</v>
      </c>
      <c r="B97" s="128" t="str">
        <f>B16&amp;""</f>
        <v/>
      </c>
      <c r="C97" s="135" t="s">
        <v>128</v>
      </c>
      <c r="D97" s="637"/>
      <c r="E97" s="638"/>
      <c r="F97" s="638"/>
      <c r="G97" s="638"/>
      <c r="H97" s="616"/>
      <c r="I97" s="616"/>
      <c r="J97" s="616"/>
      <c r="K97" s="616"/>
    </row>
    <row r="98" spans="1:13" s="2" customFormat="1">
      <c r="A98" s="3"/>
      <c r="B98" s="128"/>
      <c r="C98" s="135"/>
      <c r="D98" s="135"/>
      <c r="E98" s="135"/>
      <c r="F98" s="135"/>
      <c r="G98" s="135"/>
      <c r="H98" s="135"/>
      <c r="I98" s="135"/>
      <c r="J98" s="135"/>
      <c r="K98" s="135"/>
      <c r="L98" s="135"/>
    </row>
    <row r="99" spans="1:13" s="2" customFormat="1">
      <c r="A99" s="3"/>
      <c r="B99" s="128"/>
      <c r="C99" s="540" t="s">
        <v>398</v>
      </c>
      <c r="D99" s="543" t="str">
        <f>IF($C74=$B$33,D$6,IF(D$6-RIGHT($C74,1)&lt;$D$6,"Pre-RIIO",D$6-RIGHT($C74,1)))</f>
        <v>Pre-RIIO</v>
      </c>
      <c r="E99" s="543">
        <f t="shared" ref="E99:K99" si="33">IF($C74=$B$33,E$6,IF(E$6-RIGHT($C74,1)&lt;$D$6,"Pre-RIIO",E$6-RIGHT($C74,1)))</f>
        <v>2016</v>
      </c>
      <c r="F99" s="543">
        <f t="shared" si="33"/>
        <v>2017</v>
      </c>
      <c r="G99" s="543">
        <f t="shared" si="33"/>
        <v>2018</v>
      </c>
      <c r="H99" s="543">
        <f t="shared" si="33"/>
        <v>2019</v>
      </c>
      <c r="I99" s="543">
        <f t="shared" si="33"/>
        <v>2020</v>
      </c>
      <c r="J99" s="543">
        <f t="shared" si="33"/>
        <v>2021</v>
      </c>
      <c r="K99" s="543">
        <f t="shared" si="33"/>
        <v>2022</v>
      </c>
    </row>
    <row r="100" spans="1:13" s="2" customFormat="1">
      <c r="A100" s="3" t="str">
        <f>A17</f>
        <v>g</v>
      </c>
      <c r="B100" s="128" t="str">
        <f>B17&amp;""</f>
        <v/>
      </c>
      <c r="C100" s="135" t="s">
        <v>128</v>
      </c>
      <c r="D100" s="637"/>
      <c r="E100" s="638"/>
      <c r="F100" s="638"/>
      <c r="G100" s="638"/>
      <c r="H100" s="616"/>
      <c r="I100" s="616"/>
      <c r="J100" s="616"/>
      <c r="K100" s="616"/>
    </row>
    <row r="101" spans="1:13" s="2" customFormat="1">
      <c r="A101" s="3"/>
      <c r="B101" s="128"/>
      <c r="C101" s="135"/>
      <c r="D101" s="135"/>
      <c r="E101" s="135"/>
      <c r="F101" s="135"/>
      <c r="G101" s="135"/>
      <c r="H101" s="135"/>
      <c r="I101" s="135"/>
      <c r="J101" s="135"/>
      <c r="K101" s="135"/>
      <c r="L101" s="135"/>
      <c r="M101" s="135"/>
    </row>
    <row r="102" spans="1:13" s="2" customFormat="1">
      <c r="B102" s="12" t="s">
        <v>158</v>
      </c>
      <c r="C102" s="156" t="s">
        <v>128</v>
      </c>
      <c r="D102" s="609">
        <f>SUM(D82,D85,D88,D91,D94,D97,D100)</f>
        <v>29.162767154804989</v>
      </c>
      <c r="E102" s="609">
        <f t="shared" ref="E102:K102" si="34">SUM(E82,E85,E88,E91,E94,E97,E100)</f>
        <v>31.766138666016118</v>
      </c>
      <c r="F102" s="609">
        <f t="shared" si="34"/>
        <v>28.245016105067137</v>
      </c>
      <c r="G102" s="609">
        <f t="shared" si="34"/>
        <v>28.631290454394698</v>
      </c>
      <c r="H102" s="610">
        <f>SUM(H82,H85,H88,H91,H94,H97,H100)</f>
        <v>26.185498250129932</v>
      </c>
      <c r="I102" s="610">
        <f t="shared" si="34"/>
        <v>30.063403918037405</v>
      </c>
      <c r="J102" s="610">
        <f t="shared" si="34"/>
        <v>31.091765949320685</v>
      </c>
      <c r="K102" s="610">
        <f t="shared" si="34"/>
        <v>28.065062684145829</v>
      </c>
    </row>
    <row r="103" spans="1:13" s="2" customFormat="1">
      <c r="C103" s="135"/>
    </row>
    <row r="104" spans="1:13" s="2" customFormat="1">
      <c r="A104" s="35"/>
      <c r="B104" s="12" t="s">
        <v>373</v>
      </c>
      <c r="C104" s="155"/>
      <c r="D104" s="155"/>
      <c r="E104" s="155"/>
      <c r="F104" s="155"/>
      <c r="G104" s="155"/>
      <c r="H104" s="155"/>
      <c r="I104" s="155"/>
      <c r="J104" s="155"/>
      <c r="K104" s="155"/>
      <c r="L104" s="155"/>
      <c r="M104" s="155"/>
    </row>
    <row r="105" spans="1:13" s="2" customFormat="1">
      <c r="A105" s="268" t="str">
        <f>A82</f>
        <v>a</v>
      </c>
      <c r="B105" s="1015" t="str">
        <f>+B21</f>
        <v>The 2019/20 SECV incentive reward is still to be assessed by Ofgem and therefore the 2020 Actuals has been forecast on the prior 3 year average.</v>
      </c>
      <c r="C105" s="1015"/>
      <c r="D105" s="1015"/>
      <c r="E105" s="1015"/>
      <c r="F105" s="1015"/>
      <c r="G105" s="1015"/>
      <c r="H105" s="1015"/>
      <c r="I105" s="1015"/>
      <c r="J105" s="1015"/>
      <c r="K105" s="1015"/>
      <c r="L105" s="1015"/>
      <c r="M105" s="1015"/>
    </row>
    <row r="106" spans="1:13" s="2" customFormat="1">
      <c r="A106" s="268" t="str">
        <f>A85</f>
        <v>b</v>
      </c>
      <c r="B106" s="1015"/>
      <c r="C106" s="1015"/>
      <c r="D106" s="1015"/>
      <c r="E106" s="1015"/>
      <c r="F106" s="1015"/>
      <c r="G106" s="1015"/>
      <c r="H106" s="1015"/>
      <c r="I106" s="1015"/>
      <c r="J106" s="1015"/>
      <c r="K106" s="1015"/>
      <c r="L106" s="1015"/>
      <c r="M106" s="1015"/>
    </row>
    <row r="107" spans="1:13" s="2" customFormat="1">
      <c r="A107" s="268" t="str">
        <f>A88</f>
        <v>c</v>
      </c>
      <c r="B107" s="1015"/>
      <c r="C107" s="1015"/>
      <c r="D107" s="1015"/>
      <c r="E107" s="1015"/>
      <c r="F107" s="1015"/>
      <c r="G107" s="1015"/>
      <c r="H107" s="1015"/>
      <c r="I107" s="1015"/>
      <c r="J107" s="1015"/>
      <c r="K107" s="1015"/>
      <c r="L107" s="1015"/>
      <c r="M107" s="1015"/>
    </row>
    <row r="108" spans="1:13" s="2" customFormat="1">
      <c r="A108" s="268" t="str">
        <f>A91</f>
        <v>d</v>
      </c>
      <c r="B108" s="1015"/>
      <c r="C108" s="1015"/>
      <c r="D108" s="1015"/>
      <c r="E108" s="1015"/>
      <c r="F108" s="1015"/>
      <c r="G108" s="1015"/>
      <c r="H108" s="1015"/>
      <c r="I108" s="1015"/>
      <c r="J108" s="1015"/>
      <c r="K108" s="1015"/>
      <c r="L108" s="1015"/>
      <c r="M108" s="1015"/>
    </row>
    <row r="109" spans="1:13" s="2" customFormat="1">
      <c r="A109" s="268" t="str">
        <f>A94</f>
        <v>e</v>
      </c>
      <c r="B109" s="1015"/>
      <c r="C109" s="1015"/>
      <c r="D109" s="1015"/>
      <c r="E109" s="1015"/>
      <c r="F109" s="1015"/>
      <c r="G109" s="1015"/>
      <c r="H109" s="1015"/>
      <c r="I109" s="1015"/>
      <c r="J109" s="1015"/>
      <c r="K109" s="1015"/>
      <c r="L109" s="1015"/>
      <c r="M109" s="1015"/>
    </row>
    <row r="110" spans="1:13" s="2" customFormat="1">
      <c r="A110" s="268" t="str">
        <f>A97</f>
        <v>f</v>
      </c>
      <c r="B110" s="1015"/>
      <c r="C110" s="1015"/>
      <c r="D110" s="1015"/>
      <c r="E110" s="1015"/>
      <c r="F110" s="1015"/>
      <c r="G110" s="1015"/>
      <c r="H110" s="1015"/>
      <c r="I110" s="1015"/>
      <c r="J110" s="1015"/>
      <c r="K110" s="1015"/>
      <c r="L110" s="1015"/>
      <c r="M110" s="1015"/>
    </row>
    <row r="111" spans="1:13" s="2" customFormat="1">
      <c r="A111" s="268" t="str">
        <f>A100</f>
        <v>g</v>
      </c>
      <c r="B111" s="1015"/>
      <c r="C111" s="1015"/>
      <c r="D111" s="1015"/>
      <c r="E111" s="1015"/>
      <c r="F111" s="1015"/>
      <c r="G111" s="1015"/>
      <c r="H111" s="1015"/>
      <c r="I111" s="1015"/>
      <c r="J111" s="1015"/>
      <c r="K111" s="1015"/>
      <c r="L111" s="1015"/>
      <c r="M111" s="1015"/>
    </row>
    <row r="112" spans="1:13" s="532" customFormat="1">
      <c r="A112" s="531"/>
      <c r="C112" s="533"/>
      <c r="D112" s="534"/>
      <c r="E112" s="534"/>
      <c r="F112" s="534"/>
      <c r="G112" s="534"/>
      <c r="H112" s="534"/>
      <c r="I112" s="534"/>
      <c r="J112" s="534"/>
      <c r="K112" s="534"/>
      <c r="L112" s="535"/>
      <c r="M112" s="535"/>
    </row>
    <row r="113" spans="1:14" s="532" customFormat="1">
      <c r="A113" s="531"/>
      <c r="C113" s="533"/>
      <c r="D113" s="533"/>
      <c r="E113" s="533"/>
      <c r="F113" s="533"/>
      <c r="G113" s="533"/>
      <c r="H113" s="533"/>
      <c r="I113" s="533"/>
      <c r="J113" s="533"/>
      <c r="K113" s="533"/>
      <c r="L113" s="533"/>
      <c r="M113" s="533"/>
    </row>
    <row r="114" spans="1:14" s="2" customFormat="1">
      <c r="A114" s="81"/>
      <c r="B114" s="81"/>
      <c r="C114" s="149"/>
      <c r="D114" s="81"/>
      <c r="E114" s="81"/>
      <c r="F114" s="81"/>
      <c r="G114" s="81"/>
      <c r="H114" s="81"/>
      <c r="I114" s="81"/>
      <c r="J114" s="81"/>
      <c r="K114" s="81"/>
      <c r="L114" s="81"/>
      <c r="M114" s="81"/>
      <c r="N114" s="81"/>
    </row>
  </sheetData>
  <mergeCells count="12">
    <mergeCell ref="B110:M110"/>
    <mergeCell ref="B111:M111"/>
    <mergeCell ref="B21:M21"/>
    <mergeCell ref="B22:M22"/>
    <mergeCell ref="B23:M23"/>
    <mergeCell ref="B24:M24"/>
    <mergeCell ref="B25:M25"/>
    <mergeCell ref="B105:M105"/>
    <mergeCell ref="B106:M106"/>
    <mergeCell ref="B107:M107"/>
    <mergeCell ref="B108:M108"/>
    <mergeCell ref="B109:M109"/>
  </mergeCells>
  <conditionalFormatting sqref="D6:K6">
    <cfRule type="expression" dxfId="52" priority="31">
      <formula>AND(D$5="Actuals",E$5="Forecast")</formula>
    </cfRule>
  </conditionalFormatting>
  <conditionalFormatting sqref="D5:K5">
    <cfRule type="expression" dxfId="51"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2.xml><?xml version="1.0" encoding="utf-8"?>
<p:properties xmlns:p="http://schemas.microsoft.com/office/2006/metadata/properties" xmlns:xsi="http://www.w3.org/2001/XMLSchema-instance" xmlns:pc="http://schemas.microsoft.com/office/infopath/2007/PartnerControls">
  <documentManagement>
    <Applicable_x0020_Start_x0020_Date xmlns="631298fc-6a88-4548-b7d9-3b164918c4a3" xsi:nil="true"/>
    <Applicable_x0020_Duration xmlns="631298fc-6a88-4548-b7d9-3b164918c4a3">-</Applicable_x0020_Duration>
    <Classification xmlns="631298fc-6a88-4548-b7d9-3b164918c4a3">Unclassified</Classification>
    <Recipient xmlns="631298fc-6a88-4548-b7d9-3b164918c4a3" xsi:nil="true"/>
    <_Status xmlns="http://schemas.microsoft.com/sharepoint/v3/fields">Draft</_Status>
    <Descriptor xmlns="631298fc-6a88-4548-b7d9-3b164918c4a3" xsi:nil="true"/>
  </documentManagement>
</p:properties>
</file>

<file path=customXml/item3.xml><?xml version="1.0" encoding="utf-8"?>
<?mso-contentType ?>
<SharedContentType xmlns="Microsoft.SharePoint.Taxonomy.ContentTypeSync" SourceId="ca9306fc-8436-45f0-b931-e34f519be3a3" ContentTypeId="0x010100BEF857C979C03448B587B28C0D359605" PreviousValue="true"/>
</file>

<file path=customXml/item4.xml><?xml version="1.0" encoding="utf-8"?>
<ct:contentTypeSchema xmlns:ct="http://schemas.microsoft.com/office/2006/metadata/contentType" xmlns:ma="http://schemas.microsoft.com/office/2006/metadata/properties/metaAttributes" ct:_="" ma:_="" ma:contentTypeName="Procedure" ma:contentTypeID="0x010100BEF857C979C03448B587B28C0D35960500299C6ADD4A6AB54A9176CBB9E1C669A7" ma:contentTypeVersion="12" ma:contentTypeDescription="This is used to produce internal procedure" ma:contentTypeScope="" ma:versionID="afa9eba955e40daec69419ac2750c779">
  <xsd:schema xmlns:xsd="http://www.w3.org/2001/XMLSchema" xmlns:xs="http://www.w3.org/2001/XMLSchema" xmlns:p="http://schemas.microsoft.com/office/2006/metadata/properties" xmlns:ns2="http://schemas.microsoft.com/sharepoint/v3/fields" xmlns:ns3="631298fc-6a88-4548-b7d9-3b164918c4a3" targetNamespace="http://schemas.microsoft.com/office/2006/metadata/properties" ma:root="true" ma:fieldsID="8709a988f41297bdc56398bcb6fb9dd5" ns2:_="" ns3:_="">
    <xsd:import namespace="http://schemas.microsoft.com/sharepoint/v3/fields"/>
    <xsd:import namespace="631298fc-6a88-4548-b7d9-3b164918c4a3"/>
    <xsd:element name="properties">
      <xsd:complexType>
        <xsd:sequence>
          <xsd:element name="documentManagement">
            <xsd:complexType>
              <xsd:all>
                <xsd:element ref="ns3:Recipient" minOccurs="0"/>
                <xsd:element ref="ns2:_Status" minOccurs="0"/>
                <xsd:element ref="ns3:Applicable_x0020_Start_x0020_Date" minOccurs="0"/>
                <xsd:element ref="ns3:Applicable_x0020_Duration" minOccurs="0"/>
                <xsd:element ref="ns3:Classification" minOccurs="0"/>
                <xsd:element ref="ns3: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0"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Recipient" ma:index="9" nillable="true" ma:displayName="Recipient" ma:description="Internal or external person(s) or group (eg Exec, SMT or Authority).  For Legal Advice put recipient of advice." ma:internalName="Recipient">
      <xsd:simpleType>
        <xsd:restriction base="dms:Text">
          <xsd:maxLength value="255"/>
        </xsd:restriction>
      </xsd:simpleType>
    </xsd:element>
    <xsd:element name="Applicable_x0020_Start_x0020_Date" ma:index="11" nillable="true" ma:displayName="Applicable Start Date" ma:description="The Starting Date for the work - format is DD/MM/YYYY" ma:format="DateOnly" ma:internalName="Applicable_x0020_Start_x0020_Date">
      <xsd:simpleType>
        <xsd:restriction base="dms:DateTime"/>
      </xsd:simpleType>
    </xsd:element>
    <xsd:element name="Applicable_x0020_Duration" ma:index="12"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Classification" ma:index="13"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4"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302359-0A5A-443C-AC8D-7BDD5B842A3E}">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CC285FE4-1466-4BF7-8FA9-67F63A3D57B8}">
  <ds:schemaRefs>
    <ds:schemaRef ds:uri="631298fc-6a88-4548-b7d9-3b164918c4a3"/>
    <ds:schemaRef ds:uri="http://purl.org/dc/elements/1.1/"/>
    <ds:schemaRef ds:uri="http://schemas.microsoft.com/sharepoint/v3/field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FDAA1E34-FF0B-44F6-BCB0-892CEABC3557}">
  <ds:schemaRefs>
    <ds:schemaRef ds:uri="Microsoft.SharePoint.Taxonomy.ContentTypeSync"/>
  </ds:schemaRefs>
</ds:datastoreItem>
</file>

<file path=customXml/itemProps4.xml><?xml version="1.0" encoding="utf-8"?>
<ds:datastoreItem xmlns:ds="http://schemas.openxmlformats.org/officeDocument/2006/customXml" ds:itemID="{24AE012C-75D0-4C37-8533-38FAA86823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31298fc-6a88-4548-b7d9-3b164918c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F84B15B-8890-4BBF-8F1F-B67789940F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Mick Watson</dc:creator>
  <cp:lastModifiedBy>Bartlam, Katherine</cp:lastModifiedBy>
  <cp:lastPrinted>2018-10-02T10:25:02Z</cp:lastPrinted>
  <dcterms:created xsi:type="dcterms:W3CDTF">2018-06-13T08:32:09Z</dcterms:created>
  <dcterms:modified xsi:type="dcterms:W3CDTF">2020-10-13T09:59:00Z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76c3927d-9d0f-4b5b-afc3-851e8447321f</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_AdHocReviewCycleID">
    <vt:i4>913554583</vt:i4>
  </property>
  <property fmtid="{D5CDD505-2E9C-101B-9397-08002B2CF9AE}" pid="6" name="_EmailSubject">
    <vt:lpwstr>Draft RFPR Template and Guidance [OFFICIAL ]</vt:lpwstr>
  </property>
  <property fmtid="{D5CDD505-2E9C-101B-9397-08002B2CF9AE}" pid="7" name="_AuthorEmail">
    <vt:lpwstr>agaw@spenergynetworks.co.uk</vt:lpwstr>
  </property>
  <property fmtid="{D5CDD505-2E9C-101B-9397-08002B2CF9AE}" pid="8" name="_AuthorEmailDisplayName">
    <vt:lpwstr>Gaw, Alasdair</vt:lpwstr>
  </property>
  <property fmtid="{D5CDD505-2E9C-101B-9397-08002B2CF9AE}" pid="9" name="_ReviewingToolsShownOnce">
    <vt:lpwstr/>
  </property>
  <property fmtid="{D5CDD505-2E9C-101B-9397-08002B2CF9AE}" pid="10" name="ContentTypeId">
    <vt:lpwstr>0x010100BEF857C979C03448B587B28C0D35960500299C6ADD4A6AB54A9176CBB9E1C669A7</vt:lpwstr>
  </property>
  <property fmtid="{D5CDD505-2E9C-101B-9397-08002B2CF9AE}" pid="11" name="BJSCc5a055b0-1bed-4579_x">
    <vt:lpwstr/>
  </property>
  <property fmtid="{D5CDD505-2E9C-101B-9397-08002B2CF9AE}" pid="12" name="BJSCSummaryMarking">
    <vt:lpwstr>OFFICIAL</vt:lpwstr>
  </property>
  <property fmtid="{D5CDD505-2E9C-101B-9397-08002B2CF9AE}" pid="13"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SCdd9eba61-d6b9-469b_x">
    <vt:lpwstr/>
  </property>
  <property fmtid="{D5CDD505-2E9C-101B-9397-08002B2CF9AE}" pid="15" name="Publication Date:">
    <vt:filetime>2018-10-01T10:01:08Z</vt:filetime>
  </property>
  <property fmtid="{D5CDD505-2E9C-101B-9397-08002B2CF9AE}" pid="16" name="::">
    <vt:lpwstr>-Main Document</vt:lpwstr>
  </property>
  <property fmtid="{D5CDD505-2E9C-101B-9397-08002B2CF9AE}" pid="17" name="Classification">
    <vt:lpwstr>Unclassified</vt:lpwstr>
  </property>
  <property fmtid="{D5CDD505-2E9C-101B-9397-08002B2CF9AE}" pid="18"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9" name="bjDocumentLabelXML-0">
    <vt:lpwstr>nternal/label"&gt;&lt;element uid="id_classification_nonbusiness" value="" /&gt;&lt;/sisl&gt;</vt:lpwstr>
  </property>
  <property fmtid="{D5CDD505-2E9C-101B-9397-08002B2CF9AE}" pid="20" name="bjDocumentSecurityLabel">
    <vt:lpwstr>OFFICIAL</vt:lpwstr>
  </property>
  <property fmtid="{D5CDD505-2E9C-101B-9397-08002B2CF9AE}" pid="21" name="SV_QUERY_LIST_4F35BF76-6C0D-4D9B-82B2-816C12CF3733">
    <vt:lpwstr>empty_477D106A-C0D6-4607-AEBD-E2C9D60EA279</vt:lpwstr>
  </property>
  <property fmtid="{D5CDD505-2E9C-101B-9397-08002B2CF9AE}" pid="22" name="SV_HIDDEN_GRID_QUERY_LIST_4F35BF76-6C0D-4D9B-82B2-816C12CF3733">
    <vt:lpwstr>empty_477D106A-C0D6-4607-AEBD-E2C9D60EA279</vt:lpwstr>
  </property>
</Properties>
</file>