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ED1 RRPs\RRP 2019 20\RFPR\FOR RESUBMISSION 12102020\FOR WEBSITE\"/>
    </mc:Choice>
  </mc:AlternateContent>
  <bookViews>
    <workbookView xWindow="0" yWindow="0" windowWidth="30720" windowHeight="13236"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5" i="5" l="1"/>
  <c r="H91" i="5" l="1"/>
  <c r="H82" i="5"/>
  <c r="H20" i="20" l="1"/>
  <c r="G20" i="20"/>
  <c r="F20" i="20"/>
  <c r="E20" i="20"/>
  <c r="D20" i="20"/>
  <c r="K19" i="20" l="1"/>
  <c r="K20" i="20" s="1"/>
  <c r="J19" i="20"/>
  <c r="J20" i="20" s="1"/>
  <c r="I19" i="20"/>
  <c r="I20" i="20" s="1"/>
  <c r="D24" i="10" l="1"/>
  <c r="D28" i="10"/>
  <c r="E28" i="10"/>
  <c r="D18" i="10"/>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H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K28" i="10"/>
  <c r="J28" i="10"/>
  <c r="I28" i="10"/>
  <c r="H28" i="10"/>
  <c r="G28" i="10"/>
  <c r="F28" i="10"/>
  <c r="A3" i="10"/>
  <c r="A2" i="10"/>
  <c r="B3" i="27"/>
  <c r="A3" i="27"/>
  <c r="A2" i="27"/>
  <c r="L6" i="17"/>
  <c r="B3" i="17"/>
  <c r="A3" i="17"/>
  <c r="A2" i="17"/>
  <c r="K17" i="3"/>
  <c r="K18" i="4" s="1"/>
  <c r="J17" i="3"/>
  <c r="J18" i="4" s="1"/>
  <c r="I17" i="3"/>
  <c r="I18" i="4" s="1"/>
  <c r="H17" i="3"/>
  <c r="H18" i="4" s="1"/>
  <c r="G17" i="3"/>
  <c r="F17" i="3"/>
  <c r="E17" i="3"/>
  <c r="E18" i="4" s="1"/>
  <c r="D17" i="3"/>
  <c r="H12" i="3"/>
  <c r="H17" i="4" s="1"/>
  <c r="G12" i="3"/>
  <c r="F12" i="3"/>
  <c r="E12" i="3"/>
  <c r="E17" i="4" s="1"/>
  <c r="D12" i="3"/>
  <c r="B3" i="3"/>
  <c r="A3" i="3"/>
  <c r="A2" i="3"/>
  <c r="A111" i="5"/>
  <c r="A110" i="5"/>
  <c r="A109" i="5"/>
  <c r="A108" i="5"/>
  <c r="A107" i="5"/>
  <c r="A106" i="5"/>
  <c r="A105" i="5"/>
  <c r="G102" i="5"/>
  <c r="G15" i="4" s="1"/>
  <c r="F102" i="5"/>
  <c r="E102" i="5"/>
  <c r="D102" i="5"/>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G53" i="5"/>
  <c r="F53" i="5"/>
  <c r="E53" i="5"/>
  <c r="D53" i="5"/>
  <c r="A53" i="5"/>
  <c r="K49" i="5"/>
  <c r="J49" i="5"/>
  <c r="I49" i="5"/>
  <c r="H49" i="5"/>
  <c r="G49" i="5"/>
  <c r="F49" i="5"/>
  <c r="E49" i="5"/>
  <c r="D49" i="5"/>
  <c r="A49" i="5"/>
  <c r="A45" i="5"/>
  <c r="A44" i="5"/>
  <c r="A43" i="5"/>
  <c r="A42" i="5"/>
  <c r="A41" i="5"/>
  <c r="A40" i="5"/>
  <c r="A39" i="5"/>
  <c r="A25" i="5"/>
  <c r="A24" i="5"/>
  <c r="A23" i="5"/>
  <c r="A22" i="5"/>
  <c r="A21" i="5"/>
  <c r="G18" i="5"/>
  <c r="F18" i="5"/>
  <c r="E18" i="5"/>
  <c r="D18" i="5"/>
  <c r="M17" i="5"/>
  <c r="M16" i="5"/>
  <c r="M15" i="5"/>
  <c r="M14" i="5"/>
  <c r="M13"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K28" i="2"/>
  <c r="J28" i="2"/>
  <c r="G28" i="2"/>
  <c r="F28" i="2"/>
  <c r="E28" i="2"/>
  <c r="D28" i="2"/>
  <c r="M27" i="2"/>
  <c r="M26" i="2"/>
  <c r="M25" i="2"/>
  <c r="M23" i="2"/>
  <c r="M22" i="2"/>
  <c r="K16" i="2"/>
  <c r="J16" i="2"/>
  <c r="I16" i="2"/>
  <c r="H16" i="2"/>
  <c r="G16" i="2"/>
  <c r="F16" i="2"/>
  <c r="E16" i="2"/>
  <c r="D16" i="2"/>
  <c r="K14" i="2"/>
  <c r="J14" i="2"/>
  <c r="I14" i="2"/>
  <c r="H14" i="2"/>
  <c r="G14" i="2"/>
  <c r="F14" i="2"/>
  <c r="E14" i="2"/>
  <c r="D14" i="2"/>
  <c r="M13" i="2"/>
  <c r="M12" i="2"/>
  <c r="L6" i="2"/>
  <c r="A3" i="2"/>
  <c r="A2" i="2"/>
  <c r="K80" i="15"/>
  <c r="J80" i="15"/>
  <c r="I80" i="15"/>
  <c r="K78" i="15"/>
  <c r="J78" i="15"/>
  <c r="I78" i="15"/>
  <c r="G78" i="15"/>
  <c r="D78" i="15"/>
  <c r="K48" i="15"/>
  <c r="J48" i="15"/>
  <c r="I48" i="15"/>
  <c r="K46" i="15"/>
  <c r="J46" i="15"/>
  <c r="I46" i="15"/>
  <c r="G46" i="15"/>
  <c r="D46" i="15"/>
  <c r="K23" i="15"/>
  <c r="J23" i="15"/>
  <c r="I23" i="15"/>
  <c r="K18" i="15"/>
  <c r="J18" i="15"/>
  <c r="I18" i="15"/>
  <c r="G18" i="15"/>
  <c r="G23" i="15" s="1"/>
  <c r="F18" i="15"/>
  <c r="F23" i="15" s="1"/>
  <c r="E18" i="15"/>
  <c r="E23" i="15" s="1"/>
  <c r="D18" i="15"/>
  <c r="D23" i="15" s="1"/>
  <c r="A3" i="15"/>
  <c r="A2" i="15"/>
  <c r="K68" i="4"/>
  <c r="J68" i="4"/>
  <c r="I68" i="4"/>
  <c r="K66" i="4"/>
  <c r="J66" i="4"/>
  <c r="I66" i="4"/>
  <c r="K64" i="4"/>
  <c r="J64" i="4"/>
  <c r="I64" i="4"/>
  <c r="G64" i="4"/>
  <c r="F64" i="4"/>
  <c r="E64" i="4"/>
  <c r="D64" i="4"/>
  <c r="K45" i="4"/>
  <c r="J45" i="4"/>
  <c r="I45" i="4"/>
  <c r="H45" i="4"/>
  <c r="G45" i="4"/>
  <c r="G66" i="4" s="1"/>
  <c r="G68" i="4" s="1"/>
  <c r="F45" i="4"/>
  <c r="F66" i="4" s="1"/>
  <c r="F68" i="4" s="1"/>
  <c r="E45" i="4"/>
  <c r="E66" i="4" s="1"/>
  <c r="E68" i="4" s="1"/>
  <c r="D45" i="4"/>
  <c r="D66" i="4" s="1"/>
  <c r="D68" i="4" s="1"/>
  <c r="K28" i="4"/>
  <c r="J28" i="4"/>
  <c r="I28" i="4"/>
  <c r="G18" i="4"/>
  <c r="F18" i="4"/>
  <c r="D18" i="4"/>
  <c r="G17" i="4"/>
  <c r="F17" i="4"/>
  <c r="D17" i="4"/>
  <c r="F15" i="4"/>
  <c r="E15" i="4"/>
  <c r="D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B192" i="28"/>
  <c r="E182" i="28"/>
  <c r="B182" i="28"/>
  <c r="F159" i="28"/>
  <c r="F158" i="28"/>
  <c r="F157"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I43" i="28"/>
  <c r="H43" i="28"/>
  <c r="J42" i="28"/>
  <c r="I42" i="28"/>
  <c r="H42" i="28"/>
  <c r="G42" i="28"/>
  <c r="F42" i="28"/>
  <c r="E42" i="28"/>
  <c r="J38" i="28"/>
  <c r="I38" i="28"/>
  <c r="H38" i="28"/>
  <c r="G38" i="28"/>
  <c r="F38" i="28"/>
  <c r="E38" i="28"/>
  <c r="D30" i="28"/>
  <c r="D29" i="28"/>
  <c r="D28" i="28"/>
  <c r="D27" i="28"/>
  <c r="D26" i="28"/>
  <c r="D25" i="28"/>
  <c r="F25" i="28"/>
  <c r="D24" i="28"/>
  <c r="D23" i="28"/>
  <c r="D22" i="28"/>
  <c r="D21" i="28"/>
  <c r="D20" i="28"/>
  <c r="D19" i="28"/>
  <c r="D18" i="28"/>
  <c r="D17" i="28"/>
  <c r="D16" i="28"/>
  <c r="D15" i="28"/>
  <c r="D14" i="28"/>
  <c r="A3" i="28"/>
  <c r="A2" i="28"/>
  <c r="C14" i="13"/>
  <c r="C42" i="2" s="1"/>
  <c r="C13" i="13"/>
  <c r="D6" i="15" s="1"/>
  <c r="C12" i="13"/>
  <c r="C11" i="13"/>
  <c r="C10" i="13"/>
  <c r="C6" i="13"/>
  <c r="E156" i="28" s="1"/>
  <c r="A3" i="13"/>
  <c r="A2" i="13"/>
  <c r="K31" i="2" l="1"/>
  <c r="D26" i="4"/>
  <c r="D28" i="4" s="1"/>
  <c r="G26" i="4"/>
  <c r="G28" i="4" s="1"/>
  <c r="M61" i="5"/>
  <c r="F26" i="4"/>
  <c r="F28" i="4" s="1"/>
  <c r="E26" i="4"/>
  <c r="E28" i="4" s="1"/>
  <c r="E31" i="2"/>
  <c r="M65" i="5"/>
  <c r="M69" i="5"/>
  <c r="M73" i="5"/>
  <c r="M49" i="5"/>
  <c r="M57" i="5"/>
  <c r="M14" i="2"/>
  <c r="D19" i="2"/>
  <c r="F31" i="2"/>
  <c r="G19" i="2"/>
  <c r="J18" i="2"/>
  <c r="G48" i="15"/>
  <c r="D48" i="15"/>
  <c r="D80" i="15" s="1"/>
  <c r="I59" i="2"/>
  <c r="K46" i="2"/>
  <c r="G18" i="2"/>
  <c r="K18" i="2"/>
  <c r="G30" i="2"/>
  <c r="F47" i="2"/>
  <c r="G31" i="2"/>
  <c r="E46" i="2"/>
  <c r="E62" i="2" s="1"/>
  <c r="I46" i="2"/>
  <c r="I62" i="2" s="1"/>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B153" i="28" s="1"/>
  <c r="E155" i="28"/>
  <c r="C52" i="1"/>
  <c r="C57" i="1"/>
  <c r="D30" i="2"/>
  <c r="D31" i="2"/>
  <c r="D18" i="2"/>
  <c r="H18" i="2"/>
  <c r="C18" i="2"/>
  <c r="H19" i="2"/>
  <c r="C24" i="2"/>
  <c r="C27" i="2"/>
  <c r="E19" i="2"/>
  <c r="I19" i="2"/>
  <c r="G58" i="2"/>
  <c r="G59" i="2"/>
  <c r="K58" i="2"/>
  <c r="K59" i="2"/>
  <c r="K63" i="2" s="1"/>
  <c r="G46" i="2"/>
  <c r="G47" i="2"/>
  <c r="E18" i="2"/>
  <c r="I18" i="2"/>
  <c r="F19" i="2"/>
  <c r="J19" i="2"/>
  <c r="E30" i="2"/>
  <c r="J30" i="2"/>
  <c r="J31" i="2"/>
  <c r="D59" i="2"/>
  <c r="D46" i="2"/>
  <c r="H59" i="2"/>
  <c r="H46" i="2"/>
  <c r="H62" i="2" s="1"/>
  <c r="H47" i="2"/>
  <c r="F18" i="2"/>
  <c r="K19" i="2"/>
  <c r="K35" i="2" s="1"/>
  <c r="F30" i="2"/>
  <c r="K30" i="2"/>
  <c r="D47" i="2"/>
  <c r="D58" i="2"/>
  <c r="E47" i="2"/>
  <c r="I47" i="2"/>
  <c r="I63" i="2" s="1"/>
  <c r="E25" i="28"/>
  <c r="F26" i="28"/>
  <c r="F35" i="2" l="1"/>
  <c r="E35" i="2"/>
  <c r="G35" i="2"/>
  <c r="J34" i="2"/>
  <c r="D50" i="15"/>
  <c r="G80" i="15"/>
  <c r="G63" i="2"/>
  <c r="G62" i="2"/>
  <c r="K62" i="2"/>
  <c r="G34" i="2"/>
  <c r="K34" i="2"/>
  <c r="K36" i="2" s="1"/>
  <c r="I64" i="2"/>
  <c r="J35" i="2"/>
  <c r="F63" i="2"/>
  <c r="M58" i="2"/>
  <c r="M59" i="2"/>
  <c r="E63" i="2"/>
  <c r="E64" i="2" s="1"/>
  <c r="D78" i="2"/>
  <c r="E6" i="2"/>
  <c r="D5" i="2"/>
  <c r="D77" i="2"/>
  <c r="E6" i="27"/>
  <c r="D5" i="27"/>
  <c r="D5" i="20"/>
  <c r="E6" i="20"/>
  <c r="F6" i="15"/>
  <c r="E5" i="15"/>
  <c r="K70" i="2"/>
  <c r="K49" i="1"/>
  <c r="F34" i="2"/>
  <c r="D5" i="1"/>
  <c r="E6" i="1"/>
  <c r="E6" i="29"/>
  <c r="E5" i="29" s="1"/>
  <c r="D22" i="29"/>
  <c r="E6" i="10"/>
  <c r="E5" i="10" s="1"/>
  <c r="D40" i="10"/>
  <c r="D43" i="10" s="1"/>
  <c r="D36" i="10"/>
  <c r="D63" i="2"/>
  <c r="M47" i="2"/>
  <c r="G64" i="2"/>
  <c r="D34" i="2"/>
  <c r="M18" i="2"/>
  <c r="H63" i="2"/>
  <c r="D62" i="2"/>
  <c r="M46" i="2"/>
  <c r="E34" i="2"/>
  <c r="B159" i="28"/>
  <c r="B17" i="5" s="1"/>
  <c r="B160" i="28"/>
  <c r="B156" i="28"/>
  <c r="B14" i="5" s="1"/>
  <c r="B157" i="28"/>
  <c r="B15" i="5" s="1"/>
  <c r="B154" i="28"/>
  <c r="B12" i="5" s="1"/>
  <c r="B155" i="28"/>
  <c r="B13" i="5" s="1"/>
  <c r="B158" i="28"/>
  <c r="B16" i="5" s="1"/>
  <c r="B11" i="5"/>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C35" i="28"/>
  <c r="D34" i="10" s="1"/>
  <c r="C34" i="28"/>
  <c r="C32" i="28"/>
  <c r="D35" i="2"/>
  <c r="E26" i="28"/>
  <c r="F27" i="28"/>
  <c r="E5" i="17"/>
  <c r="F6" i="17"/>
  <c r="F70" i="2" l="1"/>
  <c r="G70" i="2"/>
  <c r="G49" i="1"/>
  <c r="G36" i="2"/>
  <c r="J36" i="2"/>
  <c r="K69" i="2"/>
  <c r="K71" i="2" s="1"/>
  <c r="G69" i="2"/>
  <c r="K64" i="2"/>
  <c r="J70" i="2"/>
  <c r="F64" i="2"/>
  <c r="F49" i="1"/>
  <c r="E49" i="1"/>
  <c r="J64" i="2"/>
  <c r="E70" i="2"/>
  <c r="D79" i="2"/>
  <c r="D50" i="1" s="1"/>
  <c r="D70" i="2"/>
  <c r="D49" i="1"/>
  <c r="D42" i="5"/>
  <c r="D41" i="5"/>
  <c r="B49" i="5"/>
  <c r="B82" i="5"/>
  <c r="B39" i="5"/>
  <c r="B51" i="1" s="1"/>
  <c r="B94" i="5"/>
  <c r="B65" i="5"/>
  <c r="B43" i="5"/>
  <c r="B55" i="1" s="1"/>
  <c r="M63" i="2"/>
  <c r="E78" i="2"/>
  <c r="E77" i="2"/>
  <c r="E5" i="2"/>
  <c r="F6" i="2"/>
  <c r="E33" i="28"/>
  <c r="D36" i="28"/>
  <c r="D35" i="28"/>
  <c r="E34" i="10" s="1"/>
  <c r="D34" i="28"/>
  <c r="D32" i="28"/>
  <c r="F6" i="11"/>
  <c r="E5" i="11"/>
  <c r="F6" i="4"/>
  <c r="E5" i="4"/>
  <c r="B97" i="5"/>
  <c r="B44" i="5"/>
  <c r="B69" i="5"/>
  <c r="B91" i="5"/>
  <c r="B61" i="5"/>
  <c r="B42" i="5"/>
  <c r="B54" i="1" s="1"/>
  <c r="M62" i="2"/>
  <c r="D64" i="2"/>
  <c r="D69" i="2"/>
  <c r="D36" i="2"/>
  <c r="F6" i="29"/>
  <c r="F5" i="29" s="1"/>
  <c r="E22" i="29"/>
  <c r="H64" i="2"/>
  <c r="J69" i="2"/>
  <c r="D35" i="10"/>
  <c r="D40" i="29"/>
  <c r="D8" i="20"/>
  <c r="D57" i="1" s="1"/>
  <c r="D14" i="19"/>
  <c r="D86" i="2"/>
  <c r="D90" i="2" s="1"/>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F6" i="10"/>
  <c r="F5" i="10" s="1"/>
  <c r="F6" i="1"/>
  <c r="E5" i="1"/>
  <c r="G6" i="15"/>
  <c r="F5" i="15"/>
  <c r="E5" i="27"/>
  <c r="F6" i="27"/>
  <c r="J49" i="1"/>
  <c r="D45" i="5"/>
  <c r="D44" i="5"/>
  <c r="D39" i="5"/>
  <c r="F6" i="3"/>
  <c r="E5" i="3"/>
  <c r="B85" i="5"/>
  <c r="B40" i="5"/>
  <c r="B52" i="1" s="1"/>
  <c r="B53" i="5"/>
  <c r="B100" i="5"/>
  <c r="B73" i="5"/>
  <c r="B45" i="5"/>
  <c r="E36" i="2"/>
  <c r="E69" i="2"/>
  <c r="F69" i="2"/>
  <c r="F36" i="2"/>
  <c r="F6" i="20"/>
  <c r="E5" i="20"/>
  <c r="E27" i="28"/>
  <c r="G6" i="17"/>
  <c r="F5" i="17"/>
  <c r="F71" i="2" l="1"/>
  <c r="H88" i="5"/>
  <c r="G71" i="2"/>
  <c r="J71" i="2"/>
  <c r="E71" i="2"/>
  <c r="B33" i="1"/>
  <c r="B14" i="1"/>
  <c r="D46" i="5"/>
  <c r="D51" i="1"/>
  <c r="G6" i="19"/>
  <c r="F5" i="19"/>
  <c r="G6" i="4"/>
  <c r="F5" i="4"/>
  <c r="E8" i="20"/>
  <c r="E57" i="1" s="1"/>
  <c r="E35" i="10"/>
  <c r="E14" i="19"/>
  <c r="E40" i="29"/>
  <c r="E86" i="2"/>
  <c r="E28" i="3"/>
  <c r="E56" i="1" s="1"/>
  <c r="E79" i="2"/>
  <c r="B36" i="1"/>
  <c r="B17" i="1"/>
  <c r="D53" i="1"/>
  <c r="D55" i="1"/>
  <c r="D52" i="1"/>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131" i="2"/>
  <c r="D100" i="2"/>
  <c r="D130" i="2"/>
  <c r="D132" i="2"/>
  <c r="D103" i="2"/>
  <c r="D91" i="2"/>
  <c r="D118" i="2"/>
  <c r="D104" i="2"/>
  <c r="D128" i="2"/>
  <c r="D133" i="2"/>
  <c r="D102" i="2"/>
  <c r="D101" i="2"/>
  <c r="D105" i="2"/>
  <c r="D129" i="2"/>
  <c r="D23" i="29"/>
  <c r="D71" i="2"/>
  <c r="F5" i="11"/>
  <c r="G6" i="11"/>
  <c r="G6" i="3"/>
  <c r="F5" i="3"/>
  <c r="G6" i="27"/>
  <c r="F5" i="27"/>
  <c r="G6" i="10"/>
  <c r="G5" i="10" s="1"/>
  <c r="F40" i="10"/>
  <c r="F43" i="10" s="1"/>
  <c r="E46" i="5"/>
  <c r="E51" i="1"/>
  <c r="G6" i="29"/>
  <c r="G5" i="29" s="1"/>
  <c r="F22" i="29"/>
  <c r="M64" i="2"/>
  <c r="E36" i="28"/>
  <c r="E35" i="28"/>
  <c r="F34" i="10" s="1"/>
  <c r="E34" i="28"/>
  <c r="E32" i="28"/>
  <c r="F33" i="28"/>
  <c r="B32" i="1"/>
  <c r="B13" i="1"/>
  <c r="D54" i="1"/>
  <c r="G5" i="17"/>
  <c r="H6" i="17"/>
  <c r="H5" i="17" s="1"/>
  <c r="I88" i="5" l="1"/>
  <c r="E23" i="29"/>
  <c r="F14" i="19"/>
  <c r="F35" i="10"/>
  <c r="F8" i="20"/>
  <c r="F57" i="1" s="1"/>
  <c r="F86" i="2"/>
  <c r="F28" i="3"/>
  <c r="F56" i="1" s="1"/>
  <c r="F40" i="29"/>
  <c r="H6" i="3"/>
  <c r="G5" i="3"/>
  <c r="D120" i="2"/>
  <c r="I6" i="15"/>
  <c r="H5" i="15"/>
  <c r="H6" i="19"/>
  <c r="G5" i="19"/>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H6" i="4"/>
  <c r="G5" i="4"/>
  <c r="G33" i="28"/>
  <c r="F36" i="28"/>
  <c r="F35" i="28"/>
  <c r="G34" i="10" s="1"/>
  <c r="F34" i="28"/>
  <c r="H94" i="5" s="1"/>
  <c r="F32" i="28"/>
  <c r="G22" i="29"/>
  <c r="H6" i="29"/>
  <c r="H5" i="29" s="1"/>
  <c r="H6" i="27"/>
  <c r="G5" i="27"/>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H32" i="10" s="1"/>
  <c r="G40" i="10"/>
  <c r="G43" i="10" s="1"/>
  <c r="D81" i="15"/>
  <c r="D82" i="15"/>
  <c r="F39" i="5"/>
  <c r="F44" i="5"/>
  <c r="H6" i="1"/>
  <c r="G5" i="1"/>
  <c r="E50" i="1"/>
  <c r="I6" i="17"/>
  <c r="I82" i="5" l="1"/>
  <c r="J88" i="5"/>
  <c r="I91" i="5"/>
  <c r="E92" i="2"/>
  <c r="E96" i="2" s="1"/>
  <c r="E120" i="2"/>
  <c r="E125" i="2" s="1"/>
  <c r="G79" i="2"/>
  <c r="G50" i="1" s="1"/>
  <c r="F46" i="5"/>
  <c r="F51" i="1"/>
  <c r="H5" i="1"/>
  <c r="I6" i="1"/>
  <c r="I6" i="10"/>
  <c r="I5" i="10" s="1"/>
  <c r="H40" i="10"/>
  <c r="H43" i="10" s="1"/>
  <c r="E106" i="2"/>
  <c r="E81" i="15"/>
  <c r="G14" i="19"/>
  <c r="G28" i="3"/>
  <c r="G56" i="1" s="1"/>
  <c r="G86" i="2"/>
  <c r="G35" i="10"/>
  <c r="G8" i="20"/>
  <c r="G57" i="1" s="1"/>
  <c r="G40" i="29"/>
  <c r="H5" i="4"/>
  <c r="I6" i="4"/>
  <c r="D109" i="2"/>
  <c r="D108" i="2"/>
  <c r="J6" i="15"/>
  <c r="I5" i="15"/>
  <c r="I6" i="27"/>
  <c r="H5" i="27"/>
  <c r="G40" i="5"/>
  <c r="G46" i="5" s="1"/>
  <c r="D97" i="2"/>
  <c r="D96" i="2"/>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G51" i="1"/>
  <c r="F23" i="29"/>
  <c r="H78" i="2"/>
  <c r="I6" i="2"/>
  <c r="H77" i="2"/>
  <c r="H5" i="2"/>
  <c r="H5" i="20"/>
  <c r="I6" i="20"/>
  <c r="H33" i="28"/>
  <c r="G32" i="28"/>
  <c r="G35" i="28"/>
  <c r="H34" i="10"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 i="5"/>
  <c r="I6" i="5"/>
  <c r="D125" i="2"/>
  <c r="D124" i="2"/>
  <c r="J6" i="17"/>
  <c r="I5" i="17"/>
  <c r="H102" i="5" l="1"/>
  <c r="H78" i="15"/>
  <c r="I94" i="5"/>
  <c r="J82" i="5"/>
  <c r="K88" i="5"/>
  <c r="J91" i="5"/>
  <c r="E97" i="2"/>
  <c r="E124" i="2"/>
  <c r="G23" i="29"/>
  <c r="D140" i="2"/>
  <c r="D141" i="2"/>
  <c r="F92" i="2"/>
  <c r="F97" i="2" s="1"/>
  <c r="D112" i="2"/>
  <c r="F106" i="2"/>
  <c r="F109" i="2" s="1"/>
  <c r="D113" i="2"/>
  <c r="I33" i="28"/>
  <c r="H32" i="28"/>
  <c r="H35" i="28"/>
  <c r="I34" i="10" s="1"/>
  <c r="H36" i="28"/>
  <c r="H34" i="28"/>
  <c r="H79" i="2"/>
  <c r="F81" i="15"/>
  <c r="F120" i="2"/>
  <c r="F134" i="2"/>
  <c r="J6" i="19"/>
  <c r="I5" i="19"/>
  <c r="G52" i="1"/>
  <c r="G133" i="2"/>
  <c r="G102" i="2"/>
  <c r="G129" i="2"/>
  <c r="G91" i="2"/>
  <c r="G90" i="2"/>
  <c r="G100" i="2"/>
  <c r="G104" i="2"/>
  <c r="G105" i="2"/>
  <c r="G101" i="2"/>
  <c r="G128" i="2"/>
  <c r="G130" i="2"/>
  <c r="G132" i="2"/>
  <c r="G131" i="2"/>
  <c r="G119" i="2"/>
  <c r="G118" i="2"/>
  <c r="G103" i="2"/>
  <c r="E109" i="2"/>
  <c r="E108" i="2"/>
  <c r="E112" i="2" s="1"/>
  <c r="H44" i="5"/>
  <c r="H54" i="1"/>
  <c r="H51" i="1"/>
  <c r="H8" i="20"/>
  <c r="H57" i="1" s="1"/>
  <c r="H14" i="19"/>
  <c r="H35" i="10"/>
  <c r="H40" i="29"/>
  <c r="H23" i="29" s="1"/>
  <c r="H86" i="2"/>
  <c r="J6" i="20"/>
  <c r="I5" i="20"/>
  <c r="I32" i="10"/>
  <c r="J6" i="10"/>
  <c r="J5" i="10" s="1"/>
  <c r="I40" i="10"/>
  <c r="I43" i="10" s="1"/>
  <c r="J6" i="1"/>
  <c r="I5" i="1"/>
  <c r="I96" i="5"/>
  <c r="I90" i="5"/>
  <c r="I84" i="5"/>
  <c r="I81" i="5"/>
  <c r="I70" i="5"/>
  <c r="I71" i="5" s="1"/>
  <c r="I44" i="5" s="1"/>
  <c r="I54" i="5"/>
  <c r="J6" i="5"/>
  <c r="L16" i="5" s="1"/>
  <c r="I87" i="5"/>
  <c r="I93" i="5"/>
  <c r="I74" i="5"/>
  <c r="I75" i="5" s="1"/>
  <c r="I45" i="5" s="1"/>
  <c r="I62" i="5"/>
  <c r="I63" i="5" s="1"/>
  <c r="I42" i="5" s="1"/>
  <c r="I54" i="1" s="1"/>
  <c r="I99" i="5"/>
  <c r="I66" i="5"/>
  <c r="I67" i="5" s="1"/>
  <c r="I43" i="5" s="1"/>
  <c r="I55" i="1" s="1"/>
  <c r="I50" i="5"/>
  <c r="I51" i="5" s="1"/>
  <c r="I39" i="5" s="1"/>
  <c r="I58" i="5"/>
  <c r="I59" i="5" s="1"/>
  <c r="I41" i="5" s="1"/>
  <c r="I53" i="1" s="1"/>
  <c r="I5" i="5"/>
  <c r="H45" i="5"/>
  <c r="J6" i="11"/>
  <c r="I5" i="11"/>
  <c r="I5" i="27"/>
  <c r="J6" i="27"/>
  <c r="I50" i="15"/>
  <c r="H41" i="5"/>
  <c r="I78" i="2"/>
  <c r="I77" i="2"/>
  <c r="I5" i="2"/>
  <c r="J6" i="2"/>
  <c r="J6" i="29"/>
  <c r="J5" i="29" s="1"/>
  <c r="E137" i="2"/>
  <c r="E141" i="2" s="1"/>
  <c r="E136" i="2"/>
  <c r="E140" i="2" s="1"/>
  <c r="J6" i="3"/>
  <c r="I5" i="3"/>
  <c r="K6" i="15"/>
  <c r="K5" i="15" s="1"/>
  <c r="J5" i="15"/>
  <c r="J6" i="4"/>
  <c r="I5" i="4"/>
  <c r="K6" i="17"/>
  <c r="J5" i="17"/>
  <c r="H28" i="3" l="1"/>
  <c r="H56" i="1" s="1"/>
  <c r="H15" i="4"/>
  <c r="H22" i="29"/>
  <c r="H35" i="29" s="1"/>
  <c r="J11" i="3"/>
  <c r="J12" i="3" s="1"/>
  <c r="J17" i="4" s="1"/>
  <c r="D147" i="2"/>
  <c r="K11" i="3"/>
  <c r="K12" i="3" s="1"/>
  <c r="K17" i="4" s="1"/>
  <c r="I11" i="3"/>
  <c r="I28" i="3" s="1"/>
  <c r="I56" i="1" s="1"/>
  <c r="K82" i="5"/>
  <c r="I85" i="5"/>
  <c r="I102" i="5" s="1"/>
  <c r="K91" i="5"/>
  <c r="J94" i="5"/>
  <c r="E113" i="2"/>
  <c r="E148" i="2" s="1"/>
  <c r="D142" i="2"/>
  <c r="F96" i="2"/>
  <c r="D148" i="2"/>
  <c r="L56" i="2"/>
  <c r="L59" i="2"/>
  <c r="L55" i="2"/>
  <c r="L65" i="5"/>
  <c r="E142" i="2"/>
  <c r="G92" i="2"/>
  <c r="G97" i="2" s="1"/>
  <c r="F113" i="2"/>
  <c r="L52" i="2"/>
  <c r="L40" i="2"/>
  <c r="L13" i="5"/>
  <c r="F108" i="2"/>
  <c r="L17" i="5"/>
  <c r="L15" i="5"/>
  <c r="D114" i="2"/>
  <c r="L62" i="2"/>
  <c r="L54" i="2"/>
  <c r="L61" i="5"/>
  <c r="L69" i="5"/>
  <c r="L11" i="5"/>
  <c r="J50" i="15"/>
  <c r="K6" i="3"/>
  <c r="K5" i="3" s="1"/>
  <c r="J5" i="3"/>
  <c r="H53" i="1"/>
  <c r="I51" i="1"/>
  <c r="L64" i="2"/>
  <c r="G81" i="15"/>
  <c r="G82" i="15"/>
  <c r="K6" i="19"/>
  <c r="K5" i="19" s="1"/>
  <c r="J5" i="19"/>
  <c r="H50" i="1"/>
  <c r="I14" i="19"/>
  <c r="I40" i="29"/>
  <c r="I86" i="2"/>
  <c r="I35" i="10"/>
  <c r="I8" i="20"/>
  <c r="I57" i="1" s="1"/>
  <c r="I32" i="28"/>
  <c r="J33" i="28"/>
  <c r="I35" i="28"/>
  <c r="J34" i="10" s="1"/>
  <c r="I36" i="28"/>
  <c r="I34" i="28"/>
  <c r="J40" i="10"/>
  <c r="J43" i="10" s="1"/>
  <c r="K6" i="10"/>
  <c r="J32" i="10"/>
  <c r="K6" i="20"/>
  <c r="K5" i="20" s="1"/>
  <c r="J5" i="20"/>
  <c r="F136" i="2"/>
  <c r="F137" i="2"/>
  <c r="L50" i="2"/>
  <c r="L23" i="2"/>
  <c r="K6" i="29"/>
  <c r="K5" i="29" s="1"/>
  <c r="I79" i="2"/>
  <c r="H101" i="2"/>
  <c r="H130" i="2"/>
  <c r="H132" i="2"/>
  <c r="H131" i="2"/>
  <c r="H100" i="2"/>
  <c r="H118" i="2"/>
  <c r="H104" i="2"/>
  <c r="H103" i="2"/>
  <c r="H91" i="2"/>
  <c r="H129" i="2"/>
  <c r="H128" i="2"/>
  <c r="H105" i="2"/>
  <c r="H90" i="2"/>
  <c r="H119" i="2"/>
  <c r="H133" i="2"/>
  <c r="F125" i="2"/>
  <c r="F124" i="2"/>
  <c r="K82" i="15"/>
  <c r="K50" i="15"/>
  <c r="K5" i="17"/>
  <c r="K6" i="4"/>
  <c r="K5" i="4" s="1"/>
  <c r="J5" i="4"/>
  <c r="J77" i="2"/>
  <c r="J78" i="2"/>
  <c r="K6" i="2"/>
  <c r="J5" i="2"/>
  <c r="L18" i="2"/>
  <c r="L19" i="2"/>
  <c r="L47" i="2"/>
  <c r="L13" i="2"/>
  <c r="L12" i="2"/>
  <c r="L51" i="2"/>
  <c r="L63" i="2"/>
  <c r="L22" i="2"/>
  <c r="L58" i="2"/>
  <c r="L27" i="2"/>
  <c r="K6" i="27"/>
  <c r="J5" i="27"/>
  <c r="J5" i="11"/>
  <c r="K6" i="11"/>
  <c r="K5" i="11" s="1"/>
  <c r="J96" i="5"/>
  <c r="J90" i="5"/>
  <c r="J84" i="5"/>
  <c r="J99" i="5"/>
  <c r="J93" i="5"/>
  <c r="J87" i="5"/>
  <c r="J81" i="5"/>
  <c r="J58" i="5"/>
  <c r="J59" i="5" s="1"/>
  <c r="J5" i="5"/>
  <c r="J74" i="5"/>
  <c r="J75" i="5" s="1"/>
  <c r="J66" i="5"/>
  <c r="J67" i="5" s="1"/>
  <c r="J43" i="5" s="1"/>
  <c r="J70" i="5"/>
  <c r="J71" i="5" s="1"/>
  <c r="J54" i="5"/>
  <c r="J50" i="5"/>
  <c r="J51" i="5" s="1"/>
  <c r="J39" i="5" s="1"/>
  <c r="J62" i="5"/>
  <c r="J63" i="5" s="1"/>
  <c r="J42" i="5" s="1"/>
  <c r="K6" i="5"/>
  <c r="L39" i="5"/>
  <c r="L73" i="5"/>
  <c r="L14" i="5"/>
  <c r="L57" i="5"/>
  <c r="K6" i="1"/>
  <c r="J5" i="1"/>
  <c r="E147" i="2"/>
  <c r="L41" i="2"/>
  <c r="L46" i="2"/>
  <c r="G120" i="2"/>
  <c r="G134" i="2"/>
  <c r="G106" i="2"/>
  <c r="L26" i="2"/>
  <c r="L53" i="2"/>
  <c r="H26" i="4" l="1"/>
  <c r="D149" i="2"/>
  <c r="I12" i="3"/>
  <c r="I17" i="4" s="1"/>
  <c r="K94" i="5"/>
  <c r="K5" i="10"/>
  <c r="K40" i="10"/>
  <c r="K43" i="10" s="1"/>
  <c r="I15" i="4"/>
  <c r="I26" i="4" s="1"/>
  <c r="I22" i="29"/>
  <c r="F112" i="2"/>
  <c r="F114" i="2" s="1"/>
  <c r="E114" i="2"/>
  <c r="L51" i="5"/>
  <c r="L63" i="5"/>
  <c r="G96" i="2"/>
  <c r="L42" i="2"/>
  <c r="J79" i="2"/>
  <c r="J50" i="1" s="1"/>
  <c r="L67" i="5"/>
  <c r="K99" i="5"/>
  <c r="K93" i="5"/>
  <c r="K87" i="5"/>
  <c r="K81" i="5"/>
  <c r="K84" i="5"/>
  <c r="K74" i="5"/>
  <c r="K75" i="5" s="1"/>
  <c r="K45" i="5" s="1"/>
  <c r="K62" i="5"/>
  <c r="K63" i="5" s="1"/>
  <c r="K90" i="5"/>
  <c r="K96" i="5"/>
  <c r="K70" i="5"/>
  <c r="K71" i="5" s="1"/>
  <c r="K54" i="5"/>
  <c r="K58" i="5"/>
  <c r="K59" i="5" s="1"/>
  <c r="K41" i="5" s="1"/>
  <c r="K53" i="1" s="1"/>
  <c r="K5" i="5"/>
  <c r="K66" i="5"/>
  <c r="K67" i="5" s="1"/>
  <c r="K50" i="5"/>
  <c r="K51" i="5" s="1"/>
  <c r="L49" i="5"/>
  <c r="L75" i="5"/>
  <c r="J44" i="5"/>
  <c r="L44" i="5" s="1"/>
  <c r="L71" i="5"/>
  <c r="J41" i="5"/>
  <c r="L59" i="5"/>
  <c r="F140" i="2"/>
  <c r="H120" i="2"/>
  <c r="K32" i="10"/>
  <c r="J35" i="10"/>
  <c r="J8" i="20"/>
  <c r="J57" i="1" s="1"/>
  <c r="J40" i="29"/>
  <c r="J14" i="19"/>
  <c r="J28" i="3"/>
  <c r="J56" i="1" s="1"/>
  <c r="J86" i="2"/>
  <c r="I101" i="2"/>
  <c r="I119" i="2"/>
  <c r="I105" i="2"/>
  <c r="I132" i="2"/>
  <c r="I131" i="2"/>
  <c r="I100" i="2"/>
  <c r="I130" i="2"/>
  <c r="I128" i="2"/>
  <c r="I118" i="2"/>
  <c r="I104" i="2"/>
  <c r="I103" i="2"/>
  <c r="I91" i="2"/>
  <c r="I90" i="2"/>
  <c r="I133" i="2"/>
  <c r="I129" i="2"/>
  <c r="G137" i="2"/>
  <c r="G136" i="2"/>
  <c r="G124" i="2"/>
  <c r="G125" i="2"/>
  <c r="J54" i="1"/>
  <c r="L42" i="5"/>
  <c r="J55" i="1"/>
  <c r="L43" i="5"/>
  <c r="K77" i="2"/>
  <c r="K78" i="2"/>
  <c r="K5" i="2"/>
  <c r="L77" i="2"/>
  <c r="L25" i="2"/>
  <c r="H81" i="15"/>
  <c r="F141" i="2"/>
  <c r="I23" i="29"/>
  <c r="E149" i="2"/>
  <c r="J51" i="1"/>
  <c r="J45" i="5"/>
  <c r="L45" i="5" s="1"/>
  <c r="K5" i="27"/>
  <c r="H92" i="2"/>
  <c r="I50" i="1"/>
  <c r="G109" i="2"/>
  <c r="G108" i="2"/>
  <c r="K5" i="1"/>
  <c r="L14" i="2"/>
  <c r="H134" i="2"/>
  <c r="J32" i="28"/>
  <c r="J35" i="28"/>
  <c r="K34" i="10" s="1"/>
  <c r="J36" i="28"/>
  <c r="J34" i="28"/>
  <c r="H28" i="4" l="1"/>
  <c r="I35" i="29"/>
  <c r="G141" i="2"/>
  <c r="L79" i="2"/>
  <c r="K79" i="2"/>
  <c r="K50" i="1" s="1"/>
  <c r="N50" i="1" s="1"/>
  <c r="J23" i="29"/>
  <c r="M75" i="5"/>
  <c r="G140" i="2"/>
  <c r="M59" i="5"/>
  <c r="I120" i="2"/>
  <c r="I125" i="2" s="1"/>
  <c r="H96" i="2"/>
  <c r="H97" i="2"/>
  <c r="M56" i="1"/>
  <c r="M57" i="1"/>
  <c r="F142" i="2"/>
  <c r="F147" i="2"/>
  <c r="K35" i="10"/>
  <c r="K8" i="20"/>
  <c r="K57" i="1" s="1"/>
  <c r="K14" i="19"/>
  <c r="K28" i="3"/>
  <c r="K56" i="1" s="1"/>
  <c r="K40" i="29"/>
  <c r="K86" i="2"/>
  <c r="G112" i="2"/>
  <c r="M50" i="1"/>
  <c r="F148" i="2"/>
  <c r="M55" i="1"/>
  <c r="I81" i="15"/>
  <c r="I82" i="15"/>
  <c r="K39" i="5"/>
  <c r="M51" i="5"/>
  <c r="K42" i="5"/>
  <c r="M63" i="5"/>
  <c r="H136" i="2"/>
  <c r="H137" i="2"/>
  <c r="G113" i="2"/>
  <c r="I92" i="2"/>
  <c r="H125" i="2"/>
  <c r="H124" i="2"/>
  <c r="K43" i="5"/>
  <c r="M67" i="5"/>
  <c r="K44" i="5"/>
  <c r="M44" i="5" s="1"/>
  <c r="M71" i="5"/>
  <c r="M45" i="5"/>
  <c r="M51" i="1"/>
  <c r="M77" i="2"/>
  <c r="M54" i="1"/>
  <c r="I134" i="2"/>
  <c r="J101" i="2"/>
  <c r="L101" i="2" s="1"/>
  <c r="J119" i="2"/>
  <c r="L119" i="2" s="1"/>
  <c r="J105" i="2"/>
  <c r="L105" i="2" s="1"/>
  <c r="J90" i="2"/>
  <c r="J131" i="2"/>
  <c r="L131" i="2" s="1"/>
  <c r="J130" i="2"/>
  <c r="L130" i="2" s="1"/>
  <c r="J104" i="2"/>
  <c r="L104" i="2" s="1"/>
  <c r="J103" i="2"/>
  <c r="L103" i="2" s="1"/>
  <c r="J91" i="2"/>
  <c r="J118" i="2"/>
  <c r="L118" i="2" s="1"/>
  <c r="J129" i="2"/>
  <c r="L129" i="2" s="1"/>
  <c r="J128" i="2"/>
  <c r="J133" i="2"/>
  <c r="L133" i="2" s="1"/>
  <c r="J102" i="2"/>
  <c r="J132" i="2"/>
  <c r="L132" i="2" s="1"/>
  <c r="J100" i="2"/>
  <c r="J53" i="1"/>
  <c r="M41" i="5"/>
  <c r="L41" i="5"/>
  <c r="N56" i="1" l="1"/>
  <c r="G142" i="2"/>
  <c r="M79" i="2"/>
  <c r="I124" i="2"/>
  <c r="L120" i="2"/>
  <c r="J106" i="2"/>
  <c r="L100" i="2"/>
  <c r="K23" i="29"/>
  <c r="H141" i="2"/>
  <c r="K54" i="1"/>
  <c r="M42" i="5"/>
  <c r="K51" i="1"/>
  <c r="M39" i="5"/>
  <c r="G114" i="2"/>
  <c r="G147" i="2"/>
  <c r="J134" i="2"/>
  <c r="L128" i="2"/>
  <c r="I136" i="2"/>
  <c r="I137" i="2"/>
  <c r="I141" i="2" s="1"/>
  <c r="L134" i="2"/>
  <c r="G148" i="2"/>
  <c r="H140" i="2"/>
  <c r="J81" i="15"/>
  <c r="J82" i="15"/>
  <c r="L90" i="2"/>
  <c r="M53" i="1"/>
  <c r="N53" i="1"/>
  <c r="J120" i="2"/>
  <c r="J92" i="2"/>
  <c r="L91" i="2"/>
  <c r="K55" i="1"/>
  <c r="M43" i="5"/>
  <c r="I97" i="2"/>
  <c r="I96" i="2"/>
  <c r="K131" i="2"/>
  <c r="M131" i="2" s="1"/>
  <c r="K100" i="2"/>
  <c r="K130" i="2"/>
  <c r="M130" i="2" s="1"/>
  <c r="K104" i="2"/>
  <c r="M104" i="2" s="1"/>
  <c r="K105" i="2"/>
  <c r="M105" i="2" s="1"/>
  <c r="K103" i="2"/>
  <c r="M103" i="2" s="1"/>
  <c r="K91" i="2"/>
  <c r="M91" i="2" s="1"/>
  <c r="K118" i="2"/>
  <c r="M118" i="2" s="1"/>
  <c r="K132" i="2"/>
  <c r="M132" i="2" s="1"/>
  <c r="K101" i="2"/>
  <c r="M101" i="2" s="1"/>
  <c r="K119" i="2"/>
  <c r="K90" i="2"/>
  <c r="K129" i="2"/>
  <c r="M129" i="2" s="1"/>
  <c r="K128" i="2"/>
  <c r="K133" i="2"/>
  <c r="M133" i="2" s="1"/>
  <c r="K102" i="2"/>
  <c r="N57" i="1"/>
  <c r="F149" i="2"/>
  <c r="I140" i="2" l="1"/>
  <c r="K81" i="15"/>
  <c r="L92" i="2"/>
  <c r="N54" i="1"/>
  <c r="J108" i="2"/>
  <c r="J109" i="2"/>
  <c r="J136" i="2"/>
  <c r="L136" i="2" s="1"/>
  <c r="J137" i="2"/>
  <c r="L137" i="2" s="1"/>
  <c r="M128" i="2"/>
  <c r="K134" i="2"/>
  <c r="J124" i="2"/>
  <c r="J125" i="2"/>
  <c r="H142" i="2"/>
  <c r="N51" i="1"/>
  <c r="M90" i="2"/>
  <c r="M92" i="2" s="1"/>
  <c r="K120" i="2"/>
  <c r="K92" i="2"/>
  <c r="K106" i="2"/>
  <c r="I142" i="2"/>
  <c r="N55" i="1"/>
  <c r="J96" i="2"/>
  <c r="L96" i="2" s="1"/>
  <c r="J97" i="2"/>
  <c r="M100" i="2"/>
  <c r="M119" i="2"/>
  <c r="M120" i="2" s="1"/>
  <c r="G149" i="2"/>
  <c r="J113" i="2" l="1"/>
  <c r="L97" i="2"/>
  <c r="K96" i="2"/>
  <c r="K97" i="2"/>
  <c r="M97" i="2" s="1"/>
  <c r="J141" i="2"/>
  <c r="L141" i="2" s="1"/>
  <c r="L125" i="2"/>
  <c r="K124" i="2"/>
  <c r="M124" i="2" s="1"/>
  <c r="K125" i="2"/>
  <c r="J140" i="2"/>
  <c r="L124" i="2"/>
  <c r="K136" i="2"/>
  <c r="M136" i="2" s="1"/>
  <c r="K137" i="2"/>
  <c r="M137" i="2" s="1"/>
  <c r="M134" i="2"/>
  <c r="K108" i="2"/>
  <c r="K109" i="2"/>
  <c r="J112" i="2"/>
  <c r="K141" i="2" l="1"/>
  <c r="M141" i="2" s="1"/>
  <c r="K140" i="2"/>
  <c r="K113" i="2"/>
  <c r="J148" i="2"/>
  <c r="J142" i="2"/>
  <c r="L142" i="2" s="1"/>
  <c r="L140" i="2"/>
  <c r="M125" i="2"/>
  <c r="K112" i="2"/>
  <c r="M96" i="2"/>
  <c r="J147" i="2"/>
  <c r="J114" i="2"/>
  <c r="K148" i="2" l="1"/>
  <c r="K142" i="2"/>
  <c r="M140" i="2"/>
  <c r="K147" i="2"/>
  <c r="K114" i="2"/>
  <c r="M142" i="2"/>
  <c r="J149" i="2"/>
  <c r="K149" i="2" l="1"/>
  <c r="H53" i="5" l="1"/>
  <c r="H18" i="5"/>
  <c r="L12" i="5"/>
  <c r="L18" i="5" s="1"/>
  <c r="J85" i="5"/>
  <c r="J102" i="5" s="1"/>
  <c r="I53" i="5" l="1"/>
  <c r="I55" i="5" s="1"/>
  <c r="I40" i="5" s="1"/>
  <c r="I18" i="5"/>
  <c r="K85" i="5"/>
  <c r="K102" i="5" s="1"/>
  <c r="J15" i="4"/>
  <c r="J22" i="29"/>
  <c r="J35" i="29" s="1"/>
  <c r="H55" i="5"/>
  <c r="L53" i="5"/>
  <c r="J26" i="4" l="1"/>
  <c r="H40" i="5"/>
  <c r="K15" i="4"/>
  <c r="K22" i="29"/>
  <c r="K35" i="29" s="1"/>
  <c r="I52" i="1"/>
  <c r="I46" i="5"/>
  <c r="K26" i="4" l="1"/>
  <c r="H52" i="1"/>
  <c r="H46" i="5"/>
  <c r="L40" i="5"/>
  <c r="L46" i="5" s="1"/>
  <c r="J18" i="5" l="1"/>
  <c r="J53" i="5"/>
  <c r="M52" i="1"/>
  <c r="M12" i="5"/>
  <c r="M18" i="5" s="1"/>
  <c r="J55" i="5" l="1"/>
  <c r="K18" i="5"/>
  <c r="K53" i="5"/>
  <c r="K55" i="5" s="1"/>
  <c r="K40" i="5" s="1"/>
  <c r="M53" i="5" l="1"/>
  <c r="K52" i="1"/>
  <c r="K46" i="5"/>
  <c r="L55" i="5"/>
  <c r="J40" i="5"/>
  <c r="M55" i="5"/>
  <c r="J46" i="5" l="1"/>
  <c r="J52" i="1"/>
  <c r="M40" i="5"/>
  <c r="M46" i="5" s="1"/>
  <c r="N52" i="1" l="1"/>
  <c r="H64" i="4" l="1"/>
  <c r="H66" i="4" s="1"/>
  <c r="H68" i="4" s="1"/>
  <c r="E21" i="10" l="1"/>
  <c r="I21" i="10"/>
  <c r="K21" i="10"/>
  <c r="G21" i="10"/>
  <c r="H21" i="10"/>
  <c r="F21" i="10"/>
  <c r="D31" i="10"/>
  <c r="D21" i="10"/>
  <c r="D29" i="10" s="1"/>
  <c r="J21" i="10"/>
  <c r="H31" i="10"/>
  <c r="I24" i="10" l="1"/>
  <c r="J24" i="10"/>
  <c r="K24" i="10"/>
  <c r="E24" i="10"/>
  <c r="G24" i="10"/>
  <c r="H24" i="10"/>
  <c r="J31" i="10"/>
  <c r="F24" i="10"/>
  <c r="K31" i="10"/>
  <c r="F31" i="10"/>
  <c r="I31" i="10"/>
  <c r="G31" i="10"/>
  <c r="E31" i="10"/>
  <c r="D32" i="10"/>
  <c r="E16" i="10"/>
  <c r="E18" i="10" s="1"/>
  <c r="D47" i="10"/>
  <c r="D38" i="10"/>
  <c r="E29" i="10" l="1"/>
  <c r="D46" i="10"/>
  <c r="D45" i="10"/>
  <c r="E38" i="10" l="1"/>
  <c r="F16" i="10"/>
  <c r="F18" i="10" s="1"/>
  <c r="F29" i="10" s="1"/>
  <c r="E47" i="10"/>
  <c r="E46" i="10" s="1"/>
  <c r="E32" i="10"/>
  <c r="D53" i="10"/>
  <c r="D49" i="10"/>
  <c r="D48" i="29"/>
  <c r="D50" i="10"/>
  <c r="D65" i="1"/>
  <c r="D54" i="10"/>
  <c r="D66" i="1"/>
  <c r="F32" i="10" l="1"/>
  <c r="F47" i="10"/>
  <c r="F46" i="10" s="1"/>
  <c r="F38" i="10"/>
  <c r="E45" i="10"/>
  <c r="E49" i="10" s="1"/>
  <c r="G16" i="10"/>
  <c r="G18" i="10" s="1"/>
  <c r="G29" i="10" s="1"/>
  <c r="D55" i="10"/>
  <c r="D57" i="10"/>
  <c r="D51" i="10"/>
  <c r="D13" i="1"/>
  <c r="D14" i="1"/>
  <c r="D15" i="1"/>
  <c r="D18" i="1"/>
  <c r="D16" i="1"/>
  <c r="D19" i="1"/>
  <c r="D11" i="1"/>
  <c r="D12" i="1"/>
  <c r="D17" i="1"/>
  <c r="E54" i="10"/>
  <c r="E65" i="1"/>
  <c r="E50" i="10"/>
  <c r="D30" i="1"/>
  <c r="D35" i="1"/>
  <c r="D38" i="1"/>
  <c r="D33" i="1"/>
  <c r="D32" i="1"/>
  <c r="D36" i="1"/>
  <c r="D34" i="1"/>
  <c r="D31" i="1"/>
  <c r="D37" i="1"/>
  <c r="D48" i="1"/>
  <c r="D58" i="10"/>
  <c r="F45" i="10" l="1"/>
  <c r="F53" i="10" s="1"/>
  <c r="E53" i="10"/>
  <c r="E55" i="10" s="1"/>
  <c r="G32" i="10"/>
  <c r="G47" i="10"/>
  <c r="G46" i="10" s="1"/>
  <c r="G38" i="10"/>
  <c r="E66" i="1"/>
  <c r="H16" i="10"/>
  <c r="H18" i="10" s="1"/>
  <c r="H29" i="10" s="1"/>
  <c r="D29" i="1"/>
  <c r="D39" i="1" s="1"/>
  <c r="D10" i="1"/>
  <c r="D20" i="1" s="1"/>
  <c r="D58" i="1"/>
  <c r="D59" i="10"/>
  <c r="E11" i="1"/>
  <c r="E12" i="1"/>
  <c r="E15" i="1"/>
  <c r="E17" i="1"/>
  <c r="E18" i="1"/>
  <c r="E13" i="1"/>
  <c r="E16" i="1"/>
  <c r="E19" i="1"/>
  <c r="E14" i="1"/>
  <c r="E57" i="10"/>
  <c r="E51" i="10"/>
  <c r="F50" i="10"/>
  <c r="F54" i="10"/>
  <c r="F65" i="1"/>
  <c r="E58" i="10"/>
  <c r="E48" i="1"/>
  <c r="E48" i="29"/>
  <c r="F49" i="10" l="1"/>
  <c r="E31" i="1"/>
  <c r="F48" i="29"/>
  <c r="G45" i="10"/>
  <c r="G49" i="10" s="1"/>
  <c r="E36" i="1"/>
  <c r="E35" i="1"/>
  <c r="E33" i="1"/>
  <c r="I16" i="10"/>
  <c r="I18" i="10" s="1"/>
  <c r="I29" i="10" s="1"/>
  <c r="E38" i="1"/>
  <c r="H38" i="10"/>
  <c r="E32" i="1"/>
  <c r="E30" i="1"/>
  <c r="E37" i="1"/>
  <c r="E34" i="1"/>
  <c r="H47" i="10"/>
  <c r="H45" i="10" s="1"/>
  <c r="F55" i="10"/>
  <c r="E59" i="10"/>
  <c r="D86" i="29"/>
  <c r="G54" i="10"/>
  <c r="G50" i="10"/>
  <c r="G65" i="1"/>
  <c r="F48" i="1"/>
  <c r="F58" i="10"/>
  <c r="E58" i="1"/>
  <c r="E10" i="1"/>
  <c r="E20" i="1" s="1"/>
  <c r="E29" i="1"/>
  <c r="F18" i="1"/>
  <c r="F12" i="1"/>
  <c r="F13" i="1"/>
  <c r="F15" i="1"/>
  <c r="F16" i="1"/>
  <c r="F17" i="1"/>
  <c r="F11" i="1"/>
  <c r="F14" i="1"/>
  <c r="F19" i="1"/>
  <c r="F51" i="10" l="1"/>
  <c r="F57" i="10"/>
  <c r="J16" i="10"/>
  <c r="J18" i="10" s="1"/>
  <c r="J29" i="10" s="1"/>
  <c r="F66" i="1"/>
  <c r="E88" i="29"/>
  <c r="E89" i="29" s="1"/>
  <c r="E59" i="1" s="1"/>
  <c r="G53" i="10"/>
  <c r="G55" i="10" s="1"/>
  <c r="E39" i="1"/>
  <c r="I47" i="10"/>
  <c r="I38" i="10"/>
  <c r="H46" i="10"/>
  <c r="H65" i="1" s="1"/>
  <c r="H49" i="10"/>
  <c r="H53" i="10"/>
  <c r="G48" i="1"/>
  <c r="G58" i="10"/>
  <c r="G18" i="1"/>
  <c r="G12" i="1"/>
  <c r="G19" i="1"/>
  <c r="G11" i="1"/>
  <c r="G17" i="1"/>
  <c r="G13" i="1"/>
  <c r="G16" i="1"/>
  <c r="G14" i="1"/>
  <c r="G15" i="1"/>
  <c r="D88" i="29"/>
  <c r="D89" i="29" s="1"/>
  <c r="D59" i="1" s="1"/>
  <c r="F59" i="10"/>
  <c r="E86" i="29"/>
  <c r="F10" i="1"/>
  <c r="F20" i="1" s="1"/>
  <c r="F58" i="1"/>
  <c r="G51" i="10"/>
  <c r="G57" i="10"/>
  <c r="D87" i="29"/>
  <c r="G48" i="29"/>
  <c r="G66" i="1" l="1"/>
  <c r="G32" i="1" s="1"/>
  <c r="F29" i="1"/>
  <c r="J47" i="10"/>
  <c r="I46" i="10"/>
  <c r="I50" i="10" s="1"/>
  <c r="I45" i="10"/>
  <c r="I53" i="10" s="1"/>
  <c r="J38" i="10"/>
  <c r="H54" i="10"/>
  <c r="H55" i="10" s="1"/>
  <c r="K16" i="10"/>
  <c r="K18" i="10" s="1"/>
  <c r="K29" i="10" s="1"/>
  <c r="M17" i="1"/>
  <c r="F33" i="1"/>
  <c r="F37" i="1"/>
  <c r="F35" i="1"/>
  <c r="F38" i="1"/>
  <c r="F34" i="1"/>
  <c r="F32" i="1"/>
  <c r="F31" i="1"/>
  <c r="F36" i="1"/>
  <c r="F30" i="1"/>
  <c r="H50" i="10"/>
  <c r="H58" i="10" s="1"/>
  <c r="M15" i="1"/>
  <c r="G33" i="1"/>
  <c r="G35" i="1"/>
  <c r="G30" i="1"/>
  <c r="G38" i="1"/>
  <c r="G31" i="1"/>
  <c r="G34" i="1"/>
  <c r="G37" i="1"/>
  <c r="G36" i="1"/>
  <c r="G59" i="10"/>
  <c r="M13" i="1"/>
  <c r="D51" i="29"/>
  <c r="D90" i="29"/>
  <c r="D60" i="1" s="1"/>
  <c r="D40" i="1" s="1"/>
  <c r="M18" i="1"/>
  <c r="E21" i="1"/>
  <c r="H57" i="10"/>
  <c r="E87" i="29"/>
  <c r="E90" i="29" s="1"/>
  <c r="E51" i="29"/>
  <c r="H19" i="1"/>
  <c r="H13" i="1"/>
  <c r="H12" i="1"/>
  <c r="H17" i="1"/>
  <c r="H15" i="1"/>
  <c r="H16" i="1"/>
  <c r="H18" i="1"/>
  <c r="H14" i="1"/>
  <c r="M12" i="1"/>
  <c r="M16" i="1"/>
  <c r="M19" i="1"/>
  <c r="I49" i="10"/>
  <c r="F86" i="29"/>
  <c r="D21" i="1"/>
  <c r="M14" i="1"/>
  <c r="G58" i="1"/>
  <c r="G10" i="1"/>
  <c r="G20" i="1" s="1"/>
  <c r="G29" i="1"/>
  <c r="I54" i="10" l="1"/>
  <c r="J46" i="10"/>
  <c r="J50" i="10" s="1"/>
  <c r="J45" i="10"/>
  <c r="J53" i="10" s="1"/>
  <c r="I65" i="1"/>
  <c r="I16" i="1" s="1"/>
  <c r="H48" i="1"/>
  <c r="M48" i="1" s="1"/>
  <c r="K47" i="10"/>
  <c r="K45" i="10" s="1"/>
  <c r="K38" i="10"/>
  <c r="F39" i="1"/>
  <c r="H51" i="10"/>
  <c r="E60" i="1"/>
  <c r="E40" i="1" s="1"/>
  <c r="G39" i="1"/>
  <c r="I55" i="10"/>
  <c r="F87" i="29"/>
  <c r="I48" i="1"/>
  <c r="I58" i="10"/>
  <c r="I51" i="10"/>
  <c r="I57" i="10"/>
  <c r="G86" i="29"/>
  <c r="H59" i="10"/>
  <c r="J49" i="10" l="1"/>
  <c r="I12" i="1"/>
  <c r="I14" i="1"/>
  <c r="I18" i="1"/>
  <c r="I15" i="1"/>
  <c r="I17" i="1"/>
  <c r="J65" i="1"/>
  <c r="J19" i="1" s="1"/>
  <c r="J54" i="10"/>
  <c r="J55" i="10" s="1"/>
  <c r="M10" i="1"/>
  <c r="I13" i="1"/>
  <c r="I19" i="1"/>
  <c r="H10" i="1"/>
  <c r="K46" i="10"/>
  <c r="K65" i="1" s="1"/>
  <c r="G88" i="29"/>
  <c r="G89" i="29" s="1"/>
  <c r="G59" i="1" s="1"/>
  <c r="J57" i="10"/>
  <c r="J51" i="10"/>
  <c r="I10" i="1"/>
  <c r="J13" i="1"/>
  <c r="K49" i="10"/>
  <c r="K53" i="10"/>
  <c r="G87" i="29"/>
  <c r="I59" i="10"/>
  <c r="J58" i="10"/>
  <c r="J48" i="1"/>
  <c r="J18" i="1" l="1"/>
  <c r="J16" i="1"/>
  <c r="J11" i="1"/>
  <c r="J15" i="1"/>
  <c r="J17" i="1"/>
  <c r="J14" i="1"/>
  <c r="J12" i="1"/>
  <c r="F88" i="29"/>
  <c r="F89" i="29" s="1"/>
  <c r="F59" i="1" s="1"/>
  <c r="F21" i="1" s="1"/>
  <c r="K50" i="10"/>
  <c r="K48" i="1" s="1"/>
  <c r="K54" i="10"/>
  <c r="K55" i="10" s="1"/>
  <c r="G51" i="29"/>
  <c r="G90" i="29"/>
  <c r="G60" i="1" s="1"/>
  <c r="G40" i="1" s="1"/>
  <c r="K57" i="10"/>
  <c r="J59" i="10"/>
  <c r="G21" i="1"/>
  <c r="K12" i="1"/>
  <c r="K19" i="1"/>
  <c r="K11" i="1"/>
  <c r="K15" i="1"/>
  <c r="K13" i="1"/>
  <c r="K14" i="1"/>
  <c r="K16" i="1"/>
  <c r="K17" i="1"/>
  <c r="K18" i="1"/>
  <c r="N16" i="1"/>
  <c r="N15" i="1"/>
  <c r="N17" i="1"/>
  <c r="N19" i="1"/>
  <c r="N12" i="1"/>
  <c r="N13" i="1"/>
  <c r="N14" i="1"/>
  <c r="N18" i="1"/>
  <c r="J10" i="1"/>
  <c r="J58" i="1"/>
  <c r="J20" i="1" l="1"/>
  <c r="K51" i="10"/>
  <c r="K58" i="10"/>
  <c r="K59" i="10" s="1"/>
  <c r="F51" i="29"/>
  <c r="F90" i="29"/>
  <c r="F60" i="1" s="1"/>
  <c r="F40" i="1" s="1"/>
  <c r="K58" i="1"/>
  <c r="K10" i="1"/>
  <c r="K20" i="1" s="1"/>
  <c r="N48" i="1"/>
  <c r="N10" i="1"/>
  <c r="H18" i="15" l="1"/>
  <c r="H23" i="15" l="1"/>
  <c r="H46" i="15" l="1"/>
  <c r="H48" i="15" s="1"/>
  <c r="H80" i="15" l="1"/>
  <c r="H82" i="15" s="1"/>
  <c r="H50" i="15"/>
  <c r="F78" i="15" l="1"/>
  <c r="E78" i="15" l="1"/>
  <c r="E46" i="15"/>
  <c r="E48" i="15" s="1"/>
  <c r="F46" i="15"/>
  <c r="F48" i="15" s="1"/>
  <c r="F80" i="15" l="1"/>
  <c r="F82" i="15" s="1"/>
  <c r="F50" i="15"/>
  <c r="E80" i="15"/>
  <c r="E82" i="15" s="1"/>
  <c r="E50" i="15"/>
  <c r="H48" i="29" l="1"/>
  <c r="H66" i="1"/>
  <c r="I66" i="1"/>
  <c r="I48" i="29"/>
  <c r="H37" i="1" l="1"/>
  <c r="H33" i="1"/>
  <c r="M32" i="1"/>
  <c r="M37" i="1"/>
  <c r="M35" i="1"/>
  <c r="M38" i="1"/>
  <c r="H36" i="1"/>
  <c r="M29" i="1"/>
  <c r="M34" i="1"/>
  <c r="M36" i="1"/>
  <c r="H29" i="1"/>
  <c r="H31" i="1"/>
  <c r="M31" i="1"/>
  <c r="H32" i="1"/>
  <c r="H35" i="1"/>
  <c r="H38" i="1"/>
  <c r="H34" i="1"/>
  <c r="M33" i="1"/>
  <c r="I33" i="1"/>
  <c r="I38" i="1"/>
  <c r="I32" i="1"/>
  <c r="I29" i="1"/>
  <c r="I37" i="1"/>
  <c r="I35" i="1"/>
  <c r="I34" i="1"/>
  <c r="I31" i="1"/>
  <c r="I36" i="1"/>
  <c r="K66" i="1" l="1"/>
  <c r="J66" i="1"/>
  <c r="J48" i="29"/>
  <c r="H86" i="29"/>
  <c r="K48" i="29"/>
  <c r="J86" i="29" l="1"/>
  <c r="N33" i="1"/>
  <c r="K38" i="1"/>
  <c r="K31" i="1"/>
  <c r="K34" i="1"/>
  <c r="K36" i="1"/>
  <c r="K30" i="1"/>
  <c r="K37" i="1"/>
  <c r="K32" i="1"/>
  <c r="K33" i="1"/>
  <c r="K29" i="1"/>
  <c r="K35" i="1"/>
  <c r="J35" i="1"/>
  <c r="J34" i="1"/>
  <c r="J33" i="1"/>
  <c r="J36" i="1"/>
  <c r="J32" i="1"/>
  <c r="J31" i="1"/>
  <c r="J29" i="1"/>
  <c r="J37" i="1"/>
  <c r="J38" i="1"/>
  <c r="J30" i="1"/>
  <c r="N32" i="1"/>
  <c r="N35" i="1"/>
  <c r="N36" i="1"/>
  <c r="N38" i="1"/>
  <c r="N31" i="1"/>
  <c r="N34" i="1"/>
  <c r="N29" i="1"/>
  <c r="N37" i="1"/>
  <c r="H87" i="29"/>
  <c r="K86" i="29"/>
  <c r="J39" i="1" l="1"/>
  <c r="K39" i="1"/>
  <c r="H88" i="29"/>
  <c r="K87" i="29"/>
  <c r="J87" i="29"/>
  <c r="K88" i="29" l="1"/>
  <c r="H89" i="29"/>
  <c r="H51" i="29"/>
  <c r="J88" i="29"/>
  <c r="H90" i="29" l="1"/>
  <c r="H60" i="1" s="1"/>
  <c r="H59" i="1"/>
  <c r="K89" i="29"/>
  <c r="K51" i="29"/>
  <c r="J89" i="29"/>
  <c r="J51" i="29"/>
  <c r="K59" i="1" l="1"/>
  <c r="K90" i="29"/>
  <c r="K60" i="1" s="1"/>
  <c r="H40" i="1"/>
  <c r="M40" i="1"/>
  <c r="M59" i="1"/>
  <c r="M21" i="1"/>
  <c r="H21" i="1"/>
  <c r="J59" i="1"/>
  <c r="J90" i="29"/>
  <c r="J60" i="1" s="1"/>
  <c r="M60" i="1"/>
  <c r="J21" i="1" l="1"/>
  <c r="J40" i="1"/>
  <c r="K21" i="1"/>
  <c r="K40" i="1"/>
  <c r="I88" i="29" l="1"/>
  <c r="I89" i="29" s="1"/>
  <c r="I59" i="1" s="1"/>
  <c r="I86" i="29"/>
  <c r="I87" i="29" l="1"/>
  <c r="I90" i="29" s="1"/>
  <c r="I60" i="1" s="1"/>
  <c r="N40" i="1" s="1"/>
  <c r="I51" i="29"/>
  <c r="I21" i="1"/>
  <c r="N59" i="1"/>
  <c r="N21" i="1"/>
  <c r="I40" i="1" l="1"/>
  <c r="N60" i="1"/>
  <c r="I69" i="29" l="1"/>
  <c r="D69" i="29"/>
  <c r="G69" i="29"/>
  <c r="H69" i="29"/>
  <c r="F69" i="29"/>
  <c r="G71" i="29" l="1"/>
  <c r="G74" i="29" s="1"/>
  <c r="G75" i="29" s="1"/>
  <c r="I71" i="29"/>
  <c r="I74" i="29" s="1"/>
  <c r="I75" i="29" s="1"/>
  <c r="F71" i="29"/>
  <c r="F74" i="29" s="1"/>
  <c r="F75" i="29" s="1"/>
  <c r="H71" i="29"/>
  <c r="H74" i="29" s="1"/>
  <c r="H75" i="29" s="1"/>
  <c r="D71" i="29"/>
  <c r="D74" i="29" s="1"/>
  <c r="D75" i="29" s="1"/>
  <c r="E69" i="29"/>
  <c r="J69" i="29"/>
  <c r="K69" i="29"/>
  <c r="E71" i="29" l="1"/>
  <c r="E74" i="29" s="1"/>
  <c r="E75" i="29" s="1"/>
  <c r="K71" i="29"/>
  <c r="K74" i="29" s="1"/>
  <c r="K75" i="29" s="1"/>
  <c r="J71" i="29"/>
  <c r="J74" i="29" s="1"/>
  <c r="J75" i="29" s="1"/>
  <c r="I28" i="2" l="1"/>
  <c r="I102" i="2"/>
  <c r="I106" i="2" s="1"/>
  <c r="H28" i="2"/>
  <c r="M24" i="2"/>
  <c r="L24" i="2"/>
  <c r="H102" i="2"/>
  <c r="H106" i="2" l="1"/>
  <c r="L102" i="2"/>
  <c r="M102" i="2"/>
  <c r="I108" i="2"/>
  <c r="I112" i="2" s="1"/>
  <c r="I109" i="2"/>
  <c r="I113" i="2" s="1"/>
  <c r="I148" i="2" s="1"/>
  <c r="H30" i="2"/>
  <c r="H31" i="2"/>
  <c r="M28" i="2"/>
  <c r="L28" i="2"/>
  <c r="I30" i="2"/>
  <c r="I34" i="2" s="1"/>
  <c r="I31" i="2"/>
  <c r="I35" i="2" s="1"/>
  <c r="I114" i="2" l="1"/>
  <c r="I147" i="2"/>
  <c r="I149" i="2" s="1"/>
  <c r="M30" i="2"/>
  <c r="H34" i="2"/>
  <c r="L30" i="2"/>
  <c r="I70" i="2"/>
  <c r="I49" i="1"/>
  <c r="H35" i="2"/>
  <c r="M31" i="2"/>
  <c r="L31" i="2"/>
  <c r="I69" i="2"/>
  <c r="I36" i="2"/>
  <c r="H109" i="2"/>
  <c r="H108" i="2"/>
  <c r="L106" i="2"/>
  <c r="M106" i="2"/>
  <c r="H49" i="1" l="1"/>
  <c r="M35" i="2"/>
  <c r="H70" i="2"/>
  <c r="L35" i="2"/>
  <c r="H113" i="2"/>
  <c r="L109" i="2"/>
  <c r="M109" i="2"/>
  <c r="I11" i="1"/>
  <c r="I58" i="1"/>
  <c r="I30" i="1"/>
  <c r="H112" i="2"/>
  <c r="L108" i="2"/>
  <c r="M108" i="2"/>
  <c r="I71" i="2"/>
  <c r="H69" i="2"/>
  <c r="H36" i="2"/>
  <c r="M34" i="2"/>
  <c r="L34" i="2"/>
  <c r="I20" i="1" l="1"/>
  <c r="I39" i="1"/>
  <c r="M69" i="2"/>
  <c r="H71" i="2"/>
  <c r="L69" i="2"/>
  <c r="H148" i="2"/>
  <c r="L113" i="2"/>
  <c r="M113" i="2"/>
  <c r="M70" i="2"/>
  <c r="L70" i="2"/>
  <c r="H147" i="2"/>
  <c r="H114" i="2"/>
  <c r="L112" i="2"/>
  <c r="M112" i="2"/>
  <c r="M36" i="2"/>
  <c r="L36" i="2"/>
  <c r="N49" i="1"/>
  <c r="M49" i="1"/>
  <c r="M11" i="1"/>
  <c r="H11" i="1"/>
  <c r="H58" i="1"/>
  <c r="N11" i="1"/>
  <c r="H30" i="1"/>
  <c r="M30" i="1"/>
  <c r="N30" i="1"/>
  <c r="M58" i="1" l="1"/>
  <c r="N58" i="1"/>
  <c r="M39" i="1"/>
  <c r="H39" i="1"/>
  <c r="N39" i="1"/>
  <c r="N20" i="1"/>
  <c r="H20" i="1"/>
  <c r="M20" i="1"/>
  <c r="L148" i="2"/>
  <c r="M148" i="2"/>
  <c r="L114" i="2"/>
  <c r="M114" i="2"/>
  <c r="M71" i="2"/>
  <c r="L71" i="2"/>
  <c r="H149" i="2"/>
  <c r="L147" i="2"/>
  <c r="M147" i="2"/>
  <c r="L149" i="2" l="1"/>
  <c r="M149" i="2"/>
  <c r="D35" i="29" l="1"/>
  <c r="D38" i="29" s="1"/>
  <c r="D42" i="29" s="1"/>
  <c r="D80" i="29" s="1"/>
  <c r="D50" i="29" l="1"/>
  <c r="D52" i="29" s="1"/>
  <c r="D54" i="29" s="1"/>
  <c r="D82" i="29" s="1"/>
  <c r="D61" i="1" s="1"/>
  <c r="D22" i="1" s="1"/>
  <c r="D23" i="1" s="1"/>
  <c r="D84" i="29" l="1"/>
  <c r="D62" i="1" s="1"/>
  <c r="D41" i="1"/>
  <c r="D42" i="1" s="1"/>
  <c r="D63" i="1"/>
  <c r="F35" i="29" l="1"/>
  <c r="F38" i="29" s="1"/>
  <c r="F42" i="29" l="1"/>
  <c r="F80" i="29" s="1"/>
  <c r="F50" i="29"/>
  <c r="F52" i="29" s="1"/>
  <c r="F54" i="29" s="1"/>
  <c r="F82" i="29" s="1"/>
  <c r="F61" i="1" s="1"/>
  <c r="H38" i="29"/>
  <c r="H50" i="29" l="1"/>
  <c r="H52" i="29" s="1"/>
  <c r="H54" i="29" s="1"/>
  <c r="H82" i="29" s="1"/>
  <c r="H61" i="1" s="1"/>
  <c r="H42" i="29"/>
  <c r="H80" i="29" s="1"/>
  <c r="F22" i="1"/>
  <c r="F23" i="1" s="1"/>
  <c r="F84" i="29"/>
  <c r="F62" i="1" s="1"/>
  <c r="F41" i="1" s="1"/>
  <c r="F42" i="1" s="1"/>
  <c r="H84" i="29" l="1"/>
  <c r="H62" i="1" s="1"/>
  <c r="H63" i="1" s="1"/>
  <c r="F63" i="1"/>
  <c r="H22" i="1"/>
  <c r="H41" i="1" l="1"/>
  <c r="H42" i="1" s="1"/>
  <c r="H23" i="1"/>
  <c r="G35" i="29" l="1"/>
  <c r="G38" i="29" s="1"/>
  <c r="G50" i="29" s="1"/>
  <c r="G52" i="29" s="1"/>
  <c r="G54" i="29" s="1"/>
  <c r="G82" i="29" s="1"/>
  <c r="G61" i="1" s="1"/>
  <c r="G42" i="29" l="1"/>
  <c r="G80" i="29" s="1"/>
  <c r="E35" i="29"/>
  <c r="E38" i="29" s="1"/>
  <c r="G84" i="29"/>
  <c r="G62" i="1" s="1"/>
  <c r="G41" i="1" s="1"/>
  <c r="G42" i="1" s="1"/>
  <c r="E50" i="29"/>
  <c r="E52" i="29" s="1"/>
  <c r="E54" i="29" s="1"/>
  <c r="E82" i="29" s="1"/>
  <c r="E61" i="1" s="1"/>
  <c r="E42" i="29"/>
  <c r="E80" i="29" s="1"/>
  <c r="G22" i="1"/>
  <c r="G23" i="1" s="1"/>
  <c r="G63" i="1" l="1"/>
  <c r="E84" i="29"/>
  <c r="E62" i="1" s="1"/>
  <c r="M41" i="1" s="1"/>
  <c r="M42" i="1" s="1"/>
  <c r="E22" i="1"/>
  <c r="E23" i="1" s="1"/>
  <c r="M61" i="1"/>
  <c r="M22" i="1"/>
  <c r="E41" i="1" l="1"/>
  <c r="E42" i="1" s="1"/>
  <c r="E63" i="1"/>
  <c r="M62" i="1"/>
  <c r="M63" i="1" s="1"/>
  <c r="M23" i="1"/>
  <c r="I38" i="29"/>
  <c r="K38" i="29"/>
  <c r="J38" i="29"/>
  <c r="K42" i="29" l="1"/>
  <c r="K80" i="29" s="1"/>
  <c r="K50" i="29"/>
  <c r="K52" i="29" s="1"/>
  <c r="K54" i="29" s="1"/>
  <c r="K82" i="29" s="1"/>
  <c r="K61" i="1" s="1"/>
  <c r="J42" i="29"/>
  <c r="J80" i="29" s="1"/>
  <c r="J50" i="29"/>
  <c r="J52" i="29" s="1"/>
  <c r="J54" i="29" s="1"/>
  <c r="J82" i="29" s="1"/>
  <c r="J61" i="1" s="1"/>
  <c r="I42" i="29"/>
  <c r="I80" i="29" s="1"/>
  <c r="I50" i="29"/>
  <c r="I52" i="29" s="1"/>
  <c r="I54" i="29" s="1"/>
  <c r="I82" i="29" s="1"/>
  <c r="I61" i="1" s="1"/>
  <c r="I22" i="1" l="1"/>
  <c r="I23" i="1" s="1"/>
  <c r="N61" i="1"/>
  <c r="N22" i="1"/>
  <c r="I84" i="29"/>
  <c r="I62" i="1" s="1"/>
  <c r="K22" i="1"/>
  <c r="K23" i="1" s="1"/>
  <c r="J22" i="1"/>
  <c r="J23" i="1" s="1"/>
  <c r="J84" i="29"/>
  <c r="J62" i="1" s="1"/>
  <c r="J41" i="1" s="1"/>
  <c r="J42" i="1" s="1"/>
  <c r="K84" i="29"/>
  <c r="K62" i="1" s="1"/>
  <c r="K63" i="1" s="1"/>
  <c r="K41" i="1" l="1"/>
  <c r="K42" i="1" s="1"/>
  <c r="N23" i="1"/>
  <c r="I41" i="1"/>
  <c r="I42" i="1" s="1"/>
  <c r="N62" i="1"/>
  <c r="N63" i="1" s="1"/>
  <c r="I63" i="1"/>
  <c r="N41" i="1"/>
  <c r="J63" i="1"/>
  <c r="N42" i="1" l="1"/>
</calcChain>
</file>

<file path=xl/sharedStrings.xml><?xml version="1.0" encoding="utf-8"?>
<sst xmlns="http://schemas.openxmlformats.org/spreadsheetml/2006/main" count="1500" uniqueCount="666">
  <si>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</si>
  <si>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</si>
  <si>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</si>
  <si>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</si>
  <si>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</si>
  <si>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</si>
  <si>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</si>
  <si>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</si>
  <si>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</si>
  <si>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</si>
  <si>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</si>
  <si>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</si>
  <si>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</si>
  <si>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</si>
  <si>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</si>
  <si>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</si>
  <si>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</si>
  <si>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</si>
  <si>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</si>
  <si>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</si>
  <si>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</si>
  <si>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</si>
  <si>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</si>
  <si>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</si>
  <si>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</si>
  <si>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</si>
  <si>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</si>
  <si>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</si>
  <si>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</si>
  <si>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</si>
  <si>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</si>
  <si>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</si>
  <si>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</si>
  <si>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</si>
  <si>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</si>
  <si>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</si>
  <si>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</si>
  <si>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</si>
  <si>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</si>
  <si>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</si>
  <si>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</si>
  <si>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</si>
  <si>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</si>
  <si>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</si>
  <si>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</si>
  <si>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</si>
  <si>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</si>
  <si>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</si>
  <si>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</si>
  <si>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</si>
  <si>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</si>
  <si>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</si>
  <si>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</si>
  <si>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</si>
  <si>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</si>
  <si>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</si>
  <si>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</si>
  <si>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</si>
  <si>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</si>
  <si>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</si>
  <si>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</si>
  <si>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</si>
  <si>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</si>
  <si>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</si>
  <si>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</si>
  <si>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</si>
  <si>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</si>
  <si>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</si>
  <si>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</si>
  <si>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</si>
  <si>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</si>
  <si>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</si>
  <si>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</si>
  <si>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</si>
  <si>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</si>
  <si>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</si>
  <si>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</si>
  <si>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</si>
  <si>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</si>
  <si>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</si>
  <si>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</si>
  <si>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</si>
  <si>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</si>
  <si>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</si>
  <si>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</si>
  <si>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</si>
  <si>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</si>
  <si>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</si>
  <si>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</si>
  <si>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</si>
  <si>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</si>
  <si>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</si>
  <si>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</si>
  <si>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</si>
  <si>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</si>
  <si>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</si>
  <si>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</si>
  <si>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</si>
  <si>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</si>
  <si>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</si>
  <si>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</si>
  <si>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</si>
  <si>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</si>
  <si>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</si>
  <si>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</si>
  <si>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</si>
  <si>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</si>
  <si>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</si>
  <si>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</si>
  <si>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</si>
  <si>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</si>
  <si>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</si>
  <si>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</si>
  <si>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</si>
  <si>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</si>
  <si>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</si>
  <si>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</si>
  <si>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</si>
  <si>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</si>
  <si>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</si>
  <si>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</si>
  <si>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</si>
  <si>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</si>
  <si>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</si>
  <si>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</si>
  <si>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</si>
  <si>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</si>
  <si>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</si>
  <si>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</si>
  <si>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</si>
  <si>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</si>
  <si>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</si>
  <si>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</si>
  <si>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</si>
  <si>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</si>
  <si>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</si>
  <si>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</si>
  <si>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</si>
  <si>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</si>
  <si>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</si>
  <si>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</si>
  <si>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</si>
  <si>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</si>
  <si>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</si>
  <si>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</si>
  <si>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</si>
  <si>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</si>
  <si>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</si>
  <si>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</si>
  <si>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</si>
  <si>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</si>
  <si>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</si>
  <si>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</si>
  <si>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</si>
  <si>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</si>
  <si>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</si>
  <si>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</si>
  <si>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</si>
  <si>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</si>
  <si>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</si>
  <si>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</si>
  <si>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</si>
  <si>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</si>
  <si>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</si>
  <si>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</si>
  <si>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</si>
  <si>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</si>
  <si>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</si>
  <si>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</si>
  <si>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</si>
  <si>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</si>
  <si>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</si>
  <si>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</si>
  <si>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</si>
  <si>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</si>
  <si>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</si>
  <si>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</si>
  <si>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</si>
  <si>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</si>
  <si>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</si>
  <si>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</si>
  <si>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</si>
  <si>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</si>
  <si>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</si>
  <si>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</si>
  <si>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</si>
  <si>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</si>
  <si>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</si>
  <si>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</si>
  <si>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</si>
  <si>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</si>
  <si>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</si>
  <si>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</si>
  <si>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</si>
  <si>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</si>
  <si>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</si>
  <si>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</si>
  <si>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</si>
  <si>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</si>
  <si>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</si>
  <si>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</si>
  <si>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</si>
  <si>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</si>
  <si>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</si>
  <si>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</si>
  <si>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</si>
  <si>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</si>
  <si>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</si>
  <si>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</si>
  <si>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</si>
  <si>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</si>
  <si>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</si>
  <si>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</si>
  <si>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</si>
  <si>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</si>
  <si>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</si>
  <si>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</si>
  <si>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</si>
  <si>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</si>
  <si>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</si>
  <si>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</si>
  <si>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</si>
  <si>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</si>
  <si>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</si>
  <si>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</si>
  <si>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</si>
  <si>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</si>
  <si>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</si>
  <si>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</si>
  <si>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</si>
  <si>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</si>
  <si>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</si>
  <si>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</si>
  <si>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</si>
  <si>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</si>
  <si>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</si>
  <si>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</si>
  <si>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</si>
  <si>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</si>
  <si>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</si>
  <si>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</si>
  <si>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</si>
  <si>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</si>
  <si>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</si>
  <si>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</si>
  <si>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</si>
  <si>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</si>
  <si>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</si>
  <si>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</si>
  <si>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</si>
  <si>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</si>
  <si>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</si>
  <si>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</si>
  <si>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</si>
  <si>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</si>
  <si>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</si>
  <si>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</si>
  <si>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</si>
  <si>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</si>
  <si>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</si>
  <si>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</si>
  <si>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</si>
  <si>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</si>
  <si>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</si>
  <si>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</si>
  <si>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</si>
  <si>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</si>
  <si>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</si>
  <si>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</si>
  <si>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</si>
  <si>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</si>
  <si>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</si>
  <si>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</si>
  <si>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</si>
  <si>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</si>
  <si>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</si>
  <si>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</si>
  <si>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</si>
  <si>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</si>
  <si>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</si>
  <si>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</si>
  <si>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</si>
  <si>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</si>
  <si>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</si>
  <si>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</si>
  <si>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</si>
  <si>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</si>
  <si>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</si>
  <si>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</si>
  <si>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</si>
  <si>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</si>
  <si>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</si>
  <si>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</si>
  <si>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</si>
  <si>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</si>
  <si>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</si>
  <si>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</si>
  <si>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</si>
  <si>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</si>
  <si>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</si>
  <si>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</si>
  <si>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</si>
  <si>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</si>
  <si>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</si>
  <si>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</si>
  <si>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</si>
  <si>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</si>
  <si>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</si>
  <si>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</si>
  <si>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</si>
  <si>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</si>
  <si>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</si>
  <si>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</si>
  <si>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</si>
  <si>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</si>
  <si>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</si>
  <si>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</si>
  <si>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</si>
  <si>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</si>
  <si>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</si>
  <si>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</si>
  <si>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</si>
  <si>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</si>
  <si>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</si>
  <si>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</si>
  <si>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</si>
  <si>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</si>
  <si>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</si>
  <si>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</si>
  <si>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</si>
  <si>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</si>
  <si>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</si>
  <si>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</si>
  <si>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</si>
  <si>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</si>
  <si>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</si>
  <si>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</si>
  <si>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</si>
  <si>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</si>
  <si>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</si>
  <si>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</si>
  <si>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</si>
  <si>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</si>
  <si>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</si>
  <si>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</si>
  <si>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</si>
  <si>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</si>
  <si>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</si>
  <si>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</si>
  <si>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</si>
  <si>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</si>
  <si>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</si>
  <si>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</si>
  <si>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</si>
  <si>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</si>
  <si>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</si>
  <si>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</si>
  <si>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</si>
  <si>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</si>
  <si>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</si>
  <si>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</si>
  <si>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</si>
  <si>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</si>
  <si>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</si>
  <si>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</si>
  <si>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</si>
  <si>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</si>
  <si>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</si>
  <si>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</si>
  <si>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</si>
  <si>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</si>
  <si>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</si>
  <si>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</si>
  <si>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</si>
  <si>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</si>
  <si>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</si>
  <si>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</si>
  <si>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</si>
  <si>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</si>
  <si>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</si>
  <si>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</si>
  <si>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</si>
  <si>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</si>
  <si>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</si>
  <si>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</si>
  <si>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</si>
  <si>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</si>
  <si>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</si>
  <si>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</si>
  <si>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</si>
  <si>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</si>
  <si>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</si>
  <si>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</si>
  <si>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</si>
  <si>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</si>
  <si>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</si>
  <si>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</si>
  <si>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</si>
  <si>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</si>
  <si>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</si>
  <si>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</si>
  <si>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</si>
  <si>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</si>
  <si>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</si>
  <si>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</si>
  <si>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</si>
  <si>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</si>
  <si>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</si>
  <si>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</si>
  <si>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</si>
  <si>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</si>
  <si>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</si>
  <si>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</si>
  <si>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</si>
  <si>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</si>
  <si>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</si>
  <si>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</si>
  <si>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</si>
  <si>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</si>
  <si>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</si>
  <si>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</si>
  <si>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</si>
  <si>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</si>
  <si>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</si>
  <si>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</si>
  <si>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</si>
  <si>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</si>
  <si>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</si>
  <si>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</si>
  <si>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</si>
  <si>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</si>
  <si>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</si>
  <si>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</si>
  <si>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</si>
  <si>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</si>
  <si>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</si>
  <si>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</si>
  <si>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</si>
  <si>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</si>
  <si>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</si>
  <si>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</si>
  <si>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</si>
  <si>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</si>
  <si>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</si>
  <si>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</si>
  <si>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</si>
  <si>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</si>
  <si>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</si>
  <si>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</si>
  <si>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</si>
  <si>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</si>
  <si>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</si>
  <si>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</si>
  <si>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</si>
  <si>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</si>
  <si>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</si>
  <si>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</si>
  <si>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</si>
  <si>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</si>
  <si>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</si>
  <si>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</si>
  <si>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</si>
  <si>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</si>
  <si>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</si>
  <si>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</si>
  <si>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</si>
  <si>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</si>
  <si>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</si>
  <si>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</si>
  <si>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</si>
  <si>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</si>
  <si>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</si>
  <si>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</si>
  <si>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</si>
  <si>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</si>
  <si>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</si>
  <si>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</si>
  <si>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</si>
  <si>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</si>
  <si>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</si>
  <si>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</si>
  <si>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</si>
  <si>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</si>
  <si>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</si>
  <si>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</si>
  <si>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</si>
  <si>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</si>
  <si>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</si>
  <si>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</si>
  <si>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</si>
  <si>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</si>
  <si>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</si>
  <si>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</si>
  <si>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</si>
  <si>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</si>
  <si>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</si>
  <si>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</si>
  <si>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</si>
  <si>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</si>
  <si>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</si>
  <si>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</si>
  <si>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</si>
  <si>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</si>
  <si>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</si>
  <si>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</si>
  <si>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</si>
  <si>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</si>
  <si>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</si>
  <si>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</si>
  <si>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</si>
  <si>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</si>
  <si>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</si>
  <si>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</si>
  <si>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</si>
  <si>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</si>
  <si>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</si>
  <si>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</si>
  <si>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</si>
  <si>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</si>
  <si>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</si>
  <si>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</si>
  <si>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</si>
  <si>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</si>
  <si>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</si>
  <si>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</si>
  <si>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</si>
  <si>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</si>
  <si>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</si>
  <si>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</si>
  <si>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</si>
  <si>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</si>
  <si>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</si>
  <si>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</si>
  <si>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</si>
  <si>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</si>
  <si>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</si>
  <si>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</si>
  <si>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</si>
  <si>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</si>
  <si>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</si>
  <si>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</si>
  <si>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</si>
  <si>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</si>
  <si>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</si>
  <si>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</si>
  <si>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</si>
  <si>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</si>
  <si>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</si>
  <si>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</si>
  <si>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</si>
  <si>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</si>
  <si>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</si>
  <si>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</si>
  <si>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</si>
  <si>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</si>
  <si>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</si>
  <si>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</si>
  <si>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</si>
  <si>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</si>
  <si>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</si>
  <si>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</si>
  <si>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</si>
  <si>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</si>
  <si>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</si>
  <si>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</si>
  <si>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</si>
  <si>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</si>
  <si>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</si>
  <si>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</si>
  <si>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</si>
  <si>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</si>
  <si>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</si>
  <si>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</si>
  <si>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</si>
  <si>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</si>
  <si>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</si>
  <si>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</si>
  <si>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Changed the format of Column Q to be a RPI number to two decimal places, instead of a percentage</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</si>
  <si>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</si>
  <si>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</si>
  <si>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</si>
  <si>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</si>
  <si>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</si>
  <si>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</si>
  <si>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DPCR4 residual distribution losses incentive (WPD and SSE owned licencees)</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</si>
  <si>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</si>
  <si>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</si>
  <si>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</si>
  <si>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</si>
  <si>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</si>
  <si>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</si>
  <si>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</si>
  <si>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</si>
  <si>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</si>
  <si>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</si>
  <si>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</si>
  <si>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</si>
  <si>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</si>
  <si>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</si>
  <si>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</si>
  <si>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</si>
  <si>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</si>
  <si>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</si>
  <si>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</si>
  <si>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</si>
  <si>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SOLR and bad debt claims not in P&amp;L</t>
  </si>
  <si>
    <t>R3</t>
  </si>
  <si>
    <t>FRS101 adjustment - ARO</t>
  </si>
  <si>
    <t>IFRS16 Lease Interest Expense</t>
  </si>
  <si>
    <t>Interest capitalised</t>
  </si>
  <si>
    <t>Interest associated to Long term loans (Not for benefit of regulated business or distribution in nature)</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</si>
  <si>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</si>
  <si>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</si>
  <si>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</si>
  <si>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</si>
  <si>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Dividend paid not related to Regulated business per WPD methodology</t>
  </si>
  <si>
    <t>R13</t>
  </si>
  <si>
    <t>2.0</t>
  </si>
  <si>
    <t>Following updated guidance &amp; clarification within the RIIO Regulatory Financial Performance Reporting – Regulatory Instructions and Guidance Version 2.0, published on the 16th of June 2020, Guaranteed Standard (GS) payments reported on row 19 have been adjusted to exclude Ex-gratia payments.</t>
  </si>
  <si>
    <t>A licence change associated to supplier bad debt has resulted in a prior year adjustment to 2019. This adjustment has been added into cells G42/G53 to accurately reflect the licence change impact.</t>
  </si>
  <si>
    <t>Pensions prepayment (See Appendices within RFPR commentary documentation)</t>
  </si>
  <si>
    <t>Rail Electrification (See Appendices within RFRS commentary documentation)</t>
  </si>
  <si>
    <t>Fair value adjustments (e.g. losses on derivatives) associated to 2020 Interest Rate Swap</t>
  </si>
  <si>
    <t>The 2019/20 SECV incentive reward is still to be assessed by Ofgem and therefore the 2020 Actuals has been forecast on the prior 3 year average.</t>
  </si>
  <si>
    <t>RPI true up</t>
  </si>
  <si>
    <t>DPCR5 legacy revenue adjustment</t>
  </si>
  <si>
    <t>Revenue profiling adjustment</t>
  </si>
  <si>
    <t>Enduring value adjustments</t>
  </si>
  <si>
    <t>Appendix 2</t>
  </si>
  <si>
    <t>Metering equipment and services</t>
  </si>
  <si>
    <t>Directly Remunerated Services (excluding metering)</t>
  </si>
  <si>
    <t>General transfers between DNOs not in Regs</t>
  </si>
  <si>
    <t xml:space="preserve">Cells E24 and F24 have been updated to include the latest actual RPI data, as directed by Varun Venaik via an email dated 06/07/2020. 
Cells G39 TO J39 have been updated to include May 2020 HMT Forecasts for UK Economy - M3 New Forecasts RPI, as directed by Varun Venaik via an email dated 06/07/2020.
Cells K63, L63, K64 and L64 have been updated to reflect a revised allowed cost of debt forecast %, as directed by Varun Venaik via an email dated 20/07/2020. </t>
  </si>
  <si>
    <t>The pre-determined formula in cell D37, = ('R8 - Net Debt'!D54-AVERAGE('R8 - Net Debt'!D8,('R8 - Net Debt'!E10-'R8a - Net Debt input'!T18)))*(Data!C36-1),  has been corrected and updated to =('R8 - Net Debt'!D54-AVERAGE('R8 - Net Debt'!D8,('R8 - Net Debt'!D10-'R8a - Net Debt input'!T18)))*(Data!C36-1). This followed the identification of an error whereby the prior formula was using the wrong year’s closing Cash, short term deposits and overdrafts (per Balance Sheet) (2016/17 rather than 2015/16).  This was agreed by Varun Venaik via email dated 22/07/2020.</t>
  </si>
  <si>
    <t>May 2020 Publication</t>
  </si>
  <si>
    <t>TIM neutral and Smart meter adjustments to Totex allowance</t>
  </si>
  <si>
    <t>Prior year adjustments to 2017, 2018 and 2019 have been made to pensions values, as highlighted to Ofgem and noted in email dated 23/07/2020. Further details can be found in the RFPR commentary.  
2017 = E35: -0.44, E36: +0.04 and +0.48. E54: -0.44, E55: +0.04
2018 = F35: +0.52, F36: -0.04 and -0.48. F54: +0.52, F55: -0.04</t>
  </si>
  <si>
    <t xml:space="preserve">Costs per the latest RRP submission in row 49 have been updated to the 2019/20 RRP submission. </t>
  </si>
  <si>
    <t>R4</t>
  </si>
  <si>
    <t>Row 12 has been updated to reflect the latest Totex actuals in the 2019/20 RRP, including the impact of the pensions adjustments as discusssed above.</t>
  </si>
  <si>
    <t>Row 13 has been updated to reflect allowances per the 2019 PCFM.</t>
  </si>
  <si>
    <t xml:space="preserve">Row 22 has been updated to reflect changes to the Pensions Prepayment Enduring Value adjustments, as a result of the pensions adjustments discussed above. See commentary for more details, and details of additional Enduring Value adjustments added and previous Enduring Value adjustments removed. </t>
  </si>
  <si>
    <t xml:space="preserve">Row 79 has been updated to reflect allowances per the 2019 PCFM. This has a consequent impact on rows 86 and 88 of table R10. </t>
  </si>
  <si>
    <t xml:space="preserve">Cell D8 has been updated to exclude restricted cash, as required in the updated RIGs. The same adjustment has been made in cell D47. </t>
  </si>
  <si>
    <t xml:space="preserve">Closing RAV in row 11 has been updated to the latest published PCFM, as per the RIGs. </t>
  </si>
  <si>
    <t xml:space="preserve">RAV additions in row 19 and RAV depreciation in row 22 have been updated to reflect RAV additions based on the 2019/20 RRP submission. Values in rows 20 and 23 have also been updated to reflect 2019/20 Enduring Value adjustments. </t>
  </si>
  <si>
    <t xml:space="preserve">There has been a minor change to the names of the non-regulatory segments in cells B16 and B17 to reflect the segments defined by Ofgem for the Regulatory Accounts in previous years. </t>
  </si>
  <si>
    <t>R10</t>
  </si>
  <si>
    <t xml:space="preserve">Enduring Value adjustments in row 34 have been updated to reflect changes to Enduring Value adjustments in 2019/20. </t>
  </si>
  <si>
    <t xml:space="preserve">Tax allowance per the latest PCFM in row 61 has been updated to the 2019 PCFM values. Forecast tax allowance in row 67 has been updated to reflect the 2019/20 RRP submission. This change is then reflected in Other adjustments in row 74. </t>
  </si>
  <si>
    <t>R12</t>
  </si>
  <si>
    <t xml:space="preserve">Prior year adjustments to 2017, 2018 and 2019 have been made to pensions values in cells E8:G8, E10:G10 and E11:G11, as highlighted to Ofgem and noted in email dated 23/07/2020. Further details can be found in the RFPR commentary. 
</t>
  </si>
  <si>
    <t>Additional Totex adjustment not in Reg Accounts</t>
  </si>
  <si>
    <t xml:space="preserve">Updated to reflect RRP resubmission - see change log for details. </t>
  </si>
  <si>
    <t xml:space="preserve">As a result of the changes above following the WPD RRP C&amp;V file resubmission to Ofgem, this has resulted in RoRE performance movements in 2019/20 and across forecast years associated with the impact on the RAV balances as described above. </t>
  </si>
  <si>
    <t>RFPR cover</t>
  </si>
  <si>
    <t xml:space="preserve">Version and Submitted date in cells C8 and C9 updated respectively to reflect this is a resubmission. </t>
  </si>
  <si>
    <t>Content &amp; Version Control</t>
  </si>
  <si>
    <t xml:space="preserve">Date submitted and changes in cells C10 and C10 updated respectively to reflect this is a resubmission. </t>
  </si>
  <si>
    <t>Cells B44 (text) and H44 (£0.3m) have been included and cell H49 has been updated (prev: £209.7m to £210.0m) following a WPD RRP C&amp;V file resubmission to Ofgem which updated the cost allocation of Network Policy, a sub activity in table C9 Core CAI, between the four WPD DNOs. An additional reconciling item, "Additional Totex adjustment not in Reg Accounts", has therefore been added to reflect this in the Totex reconciliation.</t>
  </si>
  <si>
    <t>Cell H12 has been updated (from £120.5m to £120.8m) following a WPD RRP C&amp;V file resubmission to Ofgem which updated the cost allocation of Network Policy, a sub activity in table C9 Core CAI, between the four WPD DNOs. This has in turn updated the Totex out(under)performance for 2019/20 actuals.</t>
  </si>
  <si>
    <t xml:space="preserve">The value in cell H19 has been updated (from £105.3m to £105.4m) and I22:K22 have been updated (movement &lt; 1 d.p.) following a WPD RRP C&amp;V file resubmission to Ofgem which updated the cost allocation of Network Policy, a sub activity in table C9 Core CAI, between the four WPD DNOs. The RRP adjustment impacted Totex, which in turn impacts the RAV additions for 2019/20 and consequently depreciation for the following years. The impact of this will flow through to closing RAV and return calculations. </t>
  </si>
  <si>
    <t xml:space="preserve">As a result of the changes above following the WPD RRP C&amp;V file resubmission to Ofgem, the impact has flowed through to the forecast tax liability cell H37; forecast tax allowance cells H67:K67 and other adjustments cells H74:K74. Refreshing the tax workings as part of this process also resulted in a minor movement in cell j37 from £17.4m to £17.5m (all other movements all &lt; 1 d.p.). </t>
  </si>
  <si>
    <t>NOT PUBLISHED</t>
  </si>
  <si>
    <t>OK</t>
  </si>
  <si>
    <t>Updated in 13/10/2010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</si>
</sst>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0">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3">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00"/>
        <bgColor indexed="64"/>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12">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42" borderId="68"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0" fontId="0" fillId="3" borderId="0" xfId="0" applyFont="1" applyFill="1" applyAlignment="1">
      <alignment horizontal="left" vertical="top" indent="1"/>
    </xf>
    <xf numFmtId="0" fontId="0" fillId="42" borderId="67" xfId="0" quotePrefix="1" applyFill="1" applyBorder="1" applyAlignment="1">
      <alignment horizontal="left" vertical="center" wrapText="1" indent="1"/>
    </xf>
    <xf numFmtId="0" fontId="0" fillId="3" borderId="0" xfId="0" applyFont="1" applyFill="1" applyAlignment="1">
      <alignment horizontal="left" vertical="top" indent="1"/>
    </xf>
    <xf numFmtId="172" fontId="0" fillId="0" borderId="0" xfId="0" applyNumberFormat="1" applyAlignment="1">
      <alignment horizontal="left" vertical="top"/>
    </xf>
    <xf numFmtId="14" fontId="5" fillId="3" borderId="135" xfId="2" applyNumberFormat="1" applyFont="1" applyFill="1" applyBorder="1"/>
    <xf numFmtId="0" fontId="5" fillId="3" borderId="135" xfId="2" applyNumberFormat="1" applyFont="1" applyFill="1" applyBorder="1" applyAlignment="1">
      <alignment horizontal="center" vertical="center"/>
    </xf>
    <xf numFmtId="172" fontId="5" fillId="3" borderId="135" xfId="2" applyNumberFormat="1" applyFont="1" applyFill="1" applyBorder="1"/>
    <xf numFmtId="0" fontId="0" fillId="3" borderId="0" xfId="0" applyFont="1" applyFill="1" applyAlignment="1">
      <alignment horizontal="left" vertical="top" indent="1"/>
    </xf>
    <xf numFmtId="43" fontId="0" fillId="0" borderId="0" xfId="0" applyNumberFormat="1"/>
    <xf numFmtId="0" fontId="0" fillId="132" borderId="68" xfId="0" applyFill="1" applyBorder="1" applyAlignment="1">
      <alignment horizontal="left" vertical="top" wrapText="1"/>
    </xf>
    <xf numFmtId="0" fontId="0" fillId="132" borderId="0" xfId="0" applyFont="1" applyFill="1" applyAlignment="1">
      <alignment horizontal="left" vertical="top" indent="1"/>
    </xf>
    <xf numFmtId="172" fontId="0" fillId="132" borderId="68" xfId="0" applyNumberFormat="1" applyFill="1" applyBorder="1" applyAlignment="1">
      <alignment horizontal="right" vertical="top"/>
    </xf>
    <xf numFmtId="165" fontId="5" fillId="132" borderId="65" xfId="2" applyNumberFormat="1" applyFont="1" applyFill="1" applyBorder="1" applyAlignment="1">
      <alignment vertical="center"/>
    </xf>
    <xf numFmtId="0" fontId="5" fillId="0" borderId="30" xfId="7" applyFont="1" applyBorder="1" applyAlignment="1">
      <alignment horizontal="left" indent="1"/>
    </xf>
    <xf numFmtId="172" fontId="0" fillId="132" borderId="65" xfId="0" applyNumberFormat="1" applyFill="1" applyBorder="1" applyAlignment="1">
      <alignment horizontal="right" vertical="top"/>
    </xf>
    <xf numFmtId="178" fontId="0" fillId="0" borderId="0" xfId="0" applyNumberFormat="1" applyFill="1" applyAlignment="1">
      <alignment horizontal="center" vertical="top"/>
    </xf>
    <xf numFmtId="172" fontId="5" fillId="132" borderId="68" xfId="2" applyNumberFormat="1" applyFont="1" applyFill="1" applyBorder="1"/>
    <xf numFmtId="172" fontId="5" fillId="132" borderId="69" xfId="2" applyNumberFormat="1" applyFont="1" applyFill="1" applyBorder="1"/>
    <xf numFmtId="172" fontId="0" fillId="132" borderId="77" xfId="0" applyNumberFormat="1" applyFill="1" applyBorder="1" applyAlignment="1">
      <alignment horizontal="right" vertical="top"/>
    </xf>
    <xf numFmtId="172" fontId="5" fillId="132" borderId="64" xfId="2" applyNumberFormat="1" applyFont="1" applyFill="1" applyBorder="1"/>
    <xf numFmtId="172" fontId="5" fillId="132" borderId="70" xfId="2" applyNumberFormat="1" applyFont="1" applyFill="1" applyBorder="1"/>
    <xf numFmtId="0" fontId="5" fillId="132" borderId="30" xfId="75" applyNumberFormat="1" applyFont="1" applyFill="1" applyBorder="1" applyAlignment="1" applyProtection="1">
      <alignment vertical="center"/>
    </xf>
    <xf numFmtId="175" fontId="5" fillId="132" borderId="30" xfId="75" applyNumberFormat="1" applyFont="1" applyFill="1" applyBorder="1" applyAlignment="1" applyProtection="1">
      <alignment vertical="center"/>
    </xf>
    <xf numFmtId="175" fontId="5" fillId="132" borderId="30" xfId="75" applyNumberFormat="1" applyFont="1" applyFill="1" applyBorder="1" applyProtection="1"/>
    <xf numFmtId="0" fontId="0" fillId="132" borderId="68" xfId="0" applyFill="1" applyBorder="1" applyAlignment="1">
      <alignment horizontal="left" vertical="top"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5" fillId="132" borderId="30" xfId="75" applyNumberFormat="1" applyFont="1" applyFill="1" applyBorder="1" applyAlignment="1" applyProtection="1">
      <alignment horizontal="left" vertical="top" wrapText="1"/>
    </xf>
    <xf numFmtId="0" fontId="0" fillId="132" borderId="30" xfId="0" applyFill="1" applyBorder="1" applyAlignment="1">
      <alignment horizontal="left" vertical="top"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94">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86552/Forecomp_May_2020.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C10" sqref="C10"/>
    </sheetView>
  </sheetViews>
  <sheetFormatPr defaultRowHeight="12.6"/>
  <cols>
    <col min="1" max="1" width="8.36328125" customWidth="1"/>
    <col min="2" max="2" width="27.08984375" customWidth="1"/>
    <col min="3" max="6" width="14.08984375" customWidth="1"/>
    <col min="7" max="7" width="14.08984375" style="212" customWidth="1"/>
    <col min="8" max="11" width="14.08984375" customWidth="1"/>
  </cols>
  <sheetData>
    <row r="1" spans="1:11" s="31" customFormat="1" ht="21">
      <c r="A1" s="896" t="s">
        <v>307</v>
      </c>
      <c r="B1" s="897"/>
      <c r="C1" s="897"/>
      <c r="D1" s="898"/>
      <c r="E1" s="899"/>
      <c r="F1" s="897"/>
      <c r="G1" s="900"/>
      <c r="H1" s="897"/>
      <c r="I1" s="897"/>
      <c r="J1" s="897"/>
      <c r="K1" s="897"/>
    </row>
    <row r="2" spans="1:11" s="31" customFormat="1" ht="21">
      <c r="A2" s="896" t="str">
        <f>'RFPR cover'!C5</f>
        <v>WPD-SWALES</v>
      </c>
      <c r="B2" s="897"/>
      <c r="C2" s="897"/>
      <c r="D2" s="899"/>
      <c r="E2" s="899"/>
      <c r="F2" s="897"/>
      <c r="G2" s="900"/>
      <c r="H2" s="897"/>
      <c r="I2" s="897"/>
      <c r="J2" s="897"/>
      <c r="K2" s="897"/>
    </row>
    <row r="3" spans="1:11" s="31" customFormat="1" ht="21">
      <c r="A3" s="896">
        <f>'RFPR cover'!C7</f>
        <v>2020</v>
      </c>
      <c r="B3" s="897"/>
      <c r="C3" s="897"/>
      <c r="D3" s="899"/>
      <c r="E3" s="899"/>
      <c r="F3" s="897"/>
      <c r="G3" s="900"/>
      <c r="H3" s="897"/>
      <c r="I3" s="897"/>
      <c r="J3" s="897"/>
      <c r="K3" s="897"/>
    </row>
    <row r="4" spans="1:11" ht="13.8">
      <c r="A4" s="30"/>
      <c r="B4" s="30"/>
      <c r="C4" s="30"/>
      <c r="D4" s="30"/>
      <c r="E4" s="30"/>
      <c r="H4" s="10"/>
      <c r="I4" s="10"/>
      <c r="J4" s="10"/>
    </row>
    <row r="5" spans="1:11" ht="13.5" customHeight="1">
      <c r="A5" s="30"/>
      <c r="B5" s="78" t="s">
        <v>62</v>
      </c>
      <c r="C5" s="45" t="s">
        <v>248</v>
      </c>
      <c r="D5" s="336"/>
      <c r="E5" s="19"/>
      <c r="F5" s="11"/>
      <c r="G5" s="545" t="s">
        <v>0</v>
      </c>
      <c r="H5" s="10"/>
      <c r="I5" s="10"/>
      <c r="J5" s="10"/>
    </row>
    <row r="6" spans="1:11" ht="13.5" customHeight="1">
      <c r="A6" s="30"/>
      <c r="B6" s="78" t="s">
        <v>189</v>
      </c>
      <c r="C6" s="83" t="str">
        <f>INDEX(Data!$A$73:$A$100,MATCH($C$5,Data!$B$73:$B$100,0),0)&amp;"1"</f>
        <v>ED1</v>
      </c>
      <c r="D6" s="19"/>
      <c r="E6" s="19"/>
      <c r="F6" s="9"/>
      <c r="G6" s="545" t="s">
        <v>1</v>
      </c>
      <c r="H6" s="10"/>
      <c r="I6" s="10"/>
      <c r="J6" s="10"/>
    </row>
    <row r="7" spans="1:11" ht="25.8">
      <c r="A7" s="30"/>
      <c r="B7" s="79" t="s">
        <v>188</v>
      </c>
      <c r="C7" s="84">
        <v>2020</v>
      </c>
      <c r="D7" s="18"/>
      <c r="E7" s="19"/>
      <c r="F7" s="8"/>
      <c r="G7" s="546" t="s">
        <v>2</v>
      </c>
      <c r="H7" s="10"/>
      <c r="I7" s="10"/>
      <c r="J7" s="10"/>
    </row>
    <row r="8" spans="1:11" ht="13.8">
      <c r="A8" s="30"/>
      <c r="B8" s="950" t="s">
        <v>37</v>
      </c>
      <c r="C8" s="958">
        <v>2</v>
      </c>
      <c r="D8" s="19"/>
      <c r="E8" s="18"/>
      <c r="F8" s="7"/>
      <c r="G8" s="545" t="s">
        <v>3</v>
      </c>
      <c r="H8" s="10"/>
      <c r="I8" s="10"/>
      <c r="J8" s="10"/>
    </row>
    <row r="9" spans="1:11" ht="13.8">
      <c r="A9" s="30"/>
      <c r="B9" s="950" t="s">
        <v>38</v>
      </c>
      <c r="C9" s="959">
        <v>44117</v>
      </c>
      <c r="D9" s="18"/>
      <c r="E9" s="18"/>
      <c r="F9" s="6"/>
      <c r="G9" s="545" t="s">
        <v>4</v>
      </c>
      <c r="H9" s="10"/>
      <c r="I9" s="10"/>
      <c r="J9" s="10"/>
    </row>
    <row r="10" spans="1:11" ht="13.8">
      <c r="A10" s="30"/>
      <c r="B10" s="78" t="s">
        <v>70</v>
      </c>
      <c r="C10" s="85">
        <f>SUMIF(Data!$B$72:$B$100,C5,Data!$C$72:$C$100)</f>
        <v>6.4000000000000001E-2</v>
      </c>
      <c r="D10" s="18"/>
      <c r="E10" s="18"/>
      <c r="F10" s="5"/>
      <c r="G10" s="545" t="s">
        <v>5</v>
      </c>
      <c r="H10" s="10"/>
      <c r="I10" s="10"/>
      <c r="J10" s="10"/>
    </row>
    <row r="11" spans="1:11" ht="13.8">
      <c r="A11" s="30"/>
      <c r="B11" s="78" t="s">
        <v>71</v>
      </c>
      <c r="C11" s="86">
        <f>SUMIF(Data!$B$72:$B$100,C5,Data!$D$72:$D$100)</f>
        <v>0.7</v>
      </c>
      <c r="D11" s="19"/>
      <c r="E11" s="19"/>
      <c r="F11" s="4"/>
      <c r="G11" s="545" t="s">
        <v>6</v>
      </c>
      <c r="H11" s="10"/>
      <c r="I11" s="10"/>
      <c r="J11" s="10"/>
    </row>
    <row r="12" spans="1:11">
      <c r="A12" s="30"/>
      <c r="B12" s="78" t="s">
        <v>115</v>
      </c>
      <c r="C12" s="85">
        <f>SUMIF(Data!$B$72:$B$100,C5,Data!$E$72:$E$100)</f>
        <v>0.65</v>
      </c>
      <c r="D12" s="18"/>
      <c r="E12" s="18"/>
      <c r="F12" s="18"/>
      <c r="G12" s="547"/>
    </row>
    <row r="13" spans="1:11">
      <c r="A13" s="30"/>
      <c r="B13" s="78" t="s">
        <v>509</v>
      </c>
      <c r="C13" s="83">
        <f>INDEX(Data!$G$73:$G$100,MATCH($C$5,Data!$B$73:$B$100,0),0)</f>
        <v>2016</v>
      </c>
      <c r="D13" s="18"/>
      <c r="E13" s="18"/>
      <c r="F13" s="77" t="s">
        <v>191</v>
      </c>
    </row>
    <row r="14" spans="1:11">
      <c r="A14" s="30"/>
      <c r="B14" s="80" t="s">
        <v>185</v>
      </c>
      <c r="C14" s="83" t="str">
        <f>INDEX(Data!$H$73:$H$100,MATCH($C$5,Data!$B$73:$B$100,0),0)</f>
        <v>£m 12/13</v>
      </c>
      <c r="D14" s="18"/>
      <c r="E14" s="18"/>
      <c r="F14" s="88">
        <v>0.1</v>
      </c>
      <c r="G14" s="547"/>
    </row>
    <row r="15" spans="1:11">
      <c r="A15" s="30"/>
      <c r="B15" s="18"/>
      <c r="C15" s="18"/>
      <c r="D15" s="18"/>
      <c r="E15" s="18"/>
      <c r="F15" s="18"/>
      <c r="G15" s="547"/>
    </row>
    <row r="85" spans="1:1">
      <c r="A85" s="203"/>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R28"/>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9.453125" customWidth="1"/>
    <col min="3" max="3" width="14.08984375" style="135" customWidth="1"/>
    <col min="4" max="11" width="11.08984375" customWidth="1"/>
    <col min="12" max="12" width="5" customWidth="1"/>
  </cols>
  <sheetData>
    <row r="1" spans="1:18" s="31" customFormat="1" ht="21">
      <c r="A1" s="915" t="s">
        <v>100</v>
      </c>
      <c r="B1" s="911"/>
      <c r="C1" s="277"/>
      <c r="D1" s="255"/>
      <c r="E1" s="255"/>
      <c r="F1" s="255"/>
      <c r="G1" s="255"/>
      <c r="H1" s="255"/>
      <c r="I1" s="256"/>
      <c r="J1" s="256"/>
      <c r="K1" s="257"/>
      <c r="L1" s="258"/>
    </row>
    <row r="2" spans="1:18" s="31" customFormat="1" ht="21">
      <c r="A2" s="904" t="str">
        <f>'RFPR cover'!C5</f>
        <v>WPD-SWALES</v>
      </c>
      <c r="B2" s="896"/>
      <c r="C2" s="133"/>
      <c r="D2" s="29"/>
      <c r="E2" s="29"/>
      <c r="F2" s="29"/>
      <c r="G2" s="29"/>
      <c r="H2" s="29"/>
      <c r="I2" s="27"/>
      <c r="J2" s="27"/>
      <c r="K2" s="27"/>
      <c r="L2" s="122"/>
    </row>
    <row r="3" spans="1:18" s="37" customFormat="1" ht="22.8">
      <c r="A3" s="907">
        <f>'RFPR cover'!C7</f>
        <v>2020</v>
      </c>
      <c r="B3" s="913" t="str">
        <f>'R1 - RoRE'!B3</f>
        <v/>
      </c>
      <c r="C3" s="279"/>
      <c r="D3" s="278"/>
      <c r="E3" s="278"/>
      <c r="F3" s="278"/>
      <c r="G3" s="278"/>
      <c r="H3" s="278"/>
      <c r="I3" s="254"/>
      <c r="J3" s="254"/>
      <c r="K3" s="254"/>
      <c r="L3" s="260"/>
    </row>
    <row r="4" spans="1:18" s="2" customFormat="1" ht="12.75" customHeight="1">
      <c r="C4" s="135"/>
    </row>
    <row r="5" spans="1:18" s="2" customFormat="1">
      <c r="B5" s="3"/>
      <c r="C5" s="135"/>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row>
    <row r="6" spans="1:18" s="2" customFormat="1">
      <c r="C6" s="135"/>
      <c r="D6" s="116">
        <f>'RFPR cover'!$C$13</f>
        <v>2016</v>
      </c>
      <c r="E6" s="117">
        <f>D6+1</f>
        <v>2017</v>
      </c>
      <c r="F6" s="117">
        <f t="shared" ref="F6:K6" si="0">E6+1</f>
        <v>2018</v>
      </c>
      <c r="G6" s="117">
        <f t="shared" si="0"/>
        <v>2019</v>
      </c>
      <c r="H6" s="117">
        <f t="shared" si="0"/>
        <v>2020</v>
      </c>
      <c r="I6" s="117">
        <f t="shared" si="0"/>
        <v>2021</v>
      </c>
      <c r="J6" s="117">
        <f t="shared" si="0"/>
        <v>2022</v>
      </c>
      <c r="K6" s="117">
        <f t="shared" si="0"/>
        <v>2023</v>
      </c>
    </row>
    <row r="7" spans="1:18" s="2" customFormat="1">
      <c r="C7" s="135"/>
    </row>
    <row r="8" spans="1:18" s="2" customFormat="1">
      <c r="B8" s="51" t="s">
        <v>134</v>
      </c>
      <c r="C8" s="136"/>
      <c r="D8" s="57"/>
      <c r="E8" s="57"/>
      <c r="F8" s="57"/>
      <c r="G8" s="57"/>
      <c r="H8" s="57"/>
      <c r="I8" s="57"/>
      <c r="J8" s="57"/>
      <c r="K8" s="57"/>
    </row>
    <row r="9" spans="1:18" s="2" customFormat="1">
      <c r="B9" s="224" t="s">
        <v>516</v>
      </c>
      <c r="C9" s="151" t="s">
        <v>128</v>
      </c>
      <c r="D9" s="591">
        <v>0.24104860999999994</v>
      </c>
      <c r="E9" s="592">
        <v>0.84581513000000019</v>
      </c>
      <c r="F9" s="592">
        <v>1.1605999999999999</v>
      </c>
      <c r="G9" s="592">
        <v>0.7145999999999999</v>
      </c>
      <c r="H9" s="592">
        <v>1.084579</v>
      </c>
      <c r="I9" s="592">
        <v>1.2026117111401289</v>
      </c>
      <c r="J9" s="592">
        <v>1.1089361530230968</v>
      </c>
      <c r="K9" s="592">
        <v>0.96826965796086217</v>
      </c>
      <c r="P9" s="940"/>
      <c r="Q9" s="940"/>
      <c r="R9" s="940"/>
    </row>
    <row r="10" spans="1:18" s="2" customFormat="1">
      <c r="B10" s="224" t="s">
        <v>497</v>
      </c>
      <c r="C10" s="151" t="s">
        <v>128</v>
      </c>
      <c r="D10" s="593">
        <v>0</v>
      </c>
      <c r="E10" s="594">
        <v>0</v>
      </c>
      <c r="F10" s="594">
        <v>0</v>
      </c>
      <c r="G10" s="594">
        <v>0</v>
      </c>
      <c r="H10" s="594">
        <v>0</v>
      </c>
      <c r="I10" s="594">
        <v>0</v>
      </c>
      <c r="J10" s="594">
        <v>0</v>
      </c>
      <c r="K10" s="594">
        <v>0</v>
      </c>
      <c r="P10" s="940"/>
      <c r="Q10" s="940"/>
      <c r="R10" s="940"/>
    </row>
    <row r="11" spans="1:18" s="2" customFormat="1">
      <c r="B11" s="224" t="s">
        <v>515</v>
      </c>
      <c r="C11" s="151" t="s">
        <v>128</v>
      </c>
      <c r="D11" s="844">
        <v>2.4104860999999995E-2</v>
      </c>
      <c r="E11" s="845">
        <v>8.4581513000000025E-2</v>
      </c>
      <c r="F11" s="845">
        <v>0.10855999999999999</v>
      </c>
      <c r="G11" s="845">
        <v>7.1459999999999996E-2</v>
      </c>
      <c r="H11" s="845">
        <v>0.1084579</v>
      </c>
      <c r="I11" s="845">
        <f>+I9*0.1</f>
        <v>0.1202611711140129</v>
      </c>
      <c r="J11" s="845">
        <f t="shared" ref="J11:K11" si="1">+J9*0.1</f>
        <v>0.11089361530230968</v>
      </c>
      <c r="K11" s="845">
        <f t="shared" si="1"/>
        <v>9.6826965796086226E-2</v>
      </c>
      <c r="P11" s="940"/>
      <c r="Q11" s="940"/>
      <c r="R11" s="940"/>
    </row>
    <row r="12" spans="1:18" s="12" customFormat="1">
      <c r="B12" s="51" t="s">
        <v>132</v>
      </c>
      <c r="C12" s="151" t="s">
        <v>128</v>
      </c>
      <c r="D12" s="607">
        <f>D9-D10-D11</f>
        <v>0.21694374899999994</v>
      </c>
      <c r="E12" s="608">
        <f t="shared" ref="E12:K12" si="2">E9-E10-E11</f>
        <v>0.76123361700000014</v>
      </c>
      <c r="F12" s="608">
        <f t="shared" si="2"/>
        <v>1.0520399999999999</v>
      </c>
      <c r="G12" s="608">
        <f t="shared" si="2"/>
        <v>0.64313999999999993</v>
      </c>
      <c r="H12" s="608">
        <f t="shared" si="2"/>
        <v>0.97612109999999996</v>
      </c>
      <c r="I12" s="608">
        <f t="shared" si="2"/>
        <v>1.082350540026116</v>
      </c>
      <c r="J12" s="608">
        <f t="shared" si="2"/>
        <v>0.9980425377207871</v>
      </c>
      <c r="K12" s="608">
        <f t="shared" si="2"/>
        <v>0.87144269216477599</v>
      </c>
      <c r="L12" s="2"/>
    </row>
    <row r="13" spans="1:18" s="12" customFormat="1">
      <c r="B13" s="51"/>
      <c r="C13" s="135"/>
      <c r="D13" s="52"/>
      <c r="E13" s="52"/>
      <c r="F13" s="52"/>
      <c r="G13" s="52"/>
      <c r="H13" s="52"/>
      <c r="I13" s="52"/>
      <c r="J13" s="52"/>
      <c r="K13" s="52"/>
      <c r="L13" s="2"/>
    </row>
    <row r="14" spans="1:18" s="2" customFormat="1">
      <c r="B14" s="51" t="s">
        <v>156</v>
      </c>
      <c r="C14" s="136"/>
      <c r="D14" s="57"/>
      <c r="E14" s="57"/>
      <c r="F14" s="57"/>
      <c r="G14" s="57"/>
      <c r="H14" s="57"/>
      <c r="I14" s="57"/>
      <c r="J14" s="57"/>
      <c r="K14" s="57"/>
    </row>
    <row r="15" spans="1:18" s="2" customFormat="1" ht="13.2" customHeight="1">
      <c r="B15" s="224" t="s">
        <v>518</v>
      </c>
      <c r="C15" s="151" t="s">
        <v>128</v>
      </c>
      <c r="D15" s="591">
        <v>0.77248340000000004</v>
      </c>
      <c r="E15" s="592">
        <v>4.1034769999999998E-2</v>
      </c>
      <c r="F15" s="592">
        <v>0.11890733000000001</v>
      </c>
      <c r="G15" s="592">
        <v>0.32313185999999999</v>
      </c>
      <c r="H15" s="592">
        <v>4.4316729999999999E-2</v>
      </c>
      <c r="I15" s="592">
        <v>0</v>
      </c>
      <c r="J15" s="592">
        <v>0</v>
      </c>
      <c r="K15" s="592">
        <v>0</v>
      </c>
    </row>
    <row r="16" spans="1:18" s="2" customFormat="1">
      <c r="B16" s="224" t="s">
        <v>517</v>
      </c>
      <c r="C16" s="151" t="s">
        <v>128</v>
      </c>
      <c r="D16" s="593">
        <v>0</v>
      </c>
      <c r="E16" s="594">
        <v>0</v>
      </c>
      <c r="F16" s="594">
        <v>0</v>
      </c>
      <c r="G16" s="594">
        <v>0</v>
      </c>
      <c r="H16" s="594">
        <v>0</v>
      </c>
      <c r="I16" s="594">
        <v>0</v>
      </c>
      <c r="J16" s="594">
        <v>0</v>
      </c>
      <c r="K16" s="594">
        <v>0</v>
      </c>
    </row>
    <row r="17" spans="2:12" s="12" customFormat="1">
      <c r="B17" s="51" t="s">
        <v>133</v>
      </c>
      <c r="C17" s="151" t="s">
        <v>128</v>
      </c>
      <c r="D17" s="607">
        <f>D15-D16</f>
        <v>0.77248340000000004</v>
      </c>
      <c r="E17" s="607">
        <f t="shared" ref="E17:K17" si="3">E15-E16</f>
        <v>4.1034769999999998E-2</v>
      </c>
      <c r="F17" s="607">
        <f t="shared" si="3"/>
        <v>0.11890733000000001</v>
      </c>
      <c r="G17" s="607">
        <f t="shared" si="3"/>
        <v>0.32313185999999999</v>
      </c>
      <c r="H17" s="607">
        <f t="shared" si="3"/>
        <v>4.4316729999999999E-2</v>
      </c>
      <c r="I17" s="607">
        <f t="shared" si="3"/>
        <v>0</v>
      </c>
      <c r="J17" s="607">
        <f t="shared" si="3"/>
        <v>0</v>
      </c>
      <c r="K17" s="607">
        <f t="shared" si="3"/>
        <v>0</v>
      </c>
      <c r="L17" s="2"/>
    </row>
    <row r="18" spans="2:12" s="12" customFormat="1">
      <c r="B18" s="51"/>
      <c r="C18" s="135"/>
      <c r="D18" s="52"/>
      <c r="E18" s="52"/>
      <c r="F18" s="52"/>
      <c r="G18" s="52"/>
      <c r="H18" s="52"/>
      <c r="I18" s="52"/>
      <c r="J18" s="52"/>
      <c r="K18" s="52"/>
      <c r="L18" s="2"/>
    </row>
    <row r="19" spans="2:12" s="2" customFormat="1">
      <c r="B19" s="51" t="s">
        <v>157</v>
      </c>
      <c r="C19" s="136"/>
      <c r="D19" s="57"/>
      <c r="E19" s="57"/>
      <c r="F19" s="57"/>
      <c r="G19" s="57"/>
      <c r="H19" s="57"/>
      <c r="I19" s="57"/>
      <c r="J19" s="57"/>
      <c r="K19" s="57"/>
    </row>
    <row r="20" spans="2:12" s="2" customFormat="1">
      <c r="B20" s="224" t="s">
        <v>446</v>
      </c>
      <c r="C20" s="151" t="s">
        <v>128</v>
      </c>
      <c r="D20" s="591">
        <v>0</v>
      </c>
      <c r="E20" s="592">
        <v>0</v>
      </c>
      <c r="F20" s="592">
        <v>0</v>
      </c>
      <c r="G20" s="592">
        <v>0</v>
      </c>
      <c r="H20" s="592">
        <v>0</v>
      </c>
      <c r="I20" s="592">
        <v>0</v>
      </c>
      <c r="J20" s="592">
        <v>0</v>
      </c>
      <c r="K20" s="592">
        <v>0</v>
      </c>
    </row>
    <row r="21" spans="2:12" s="2" customFormat="1">
      <c r="B21" s="224" t="s">
        <v>515</v>
      </c>
      <c r="C21" s="151" t="s">
        <v>128</v>
      </c>
      <c r="D21" s="629">
        <v>0</v>
      </c>
      <c r="E21" s="630">
        <v>0</v>
      </c>
      <c r="F21" s="630">
        <v>0</v>
      </c>
      <c r="G21" s="630">
        <v>0</v>
      </c>
      <c r="H21" s="630">
        <v>0</v>
      </c>
      <c r="I21" s="630">
        <v>0</v>
      </c>
      <c r="J21" s="630">
        <v>0</v>
      </c>
      <c r="K21" s="630">
        <v>0</v>
      </c>
    </row>
    <row r="22" spans="2:12" s="2" customFormat="1">
      <c r="B22" s="35"/>
      <c r="C22" s="137"/>
      <c r="D22" s="35"/>
      <c r="E22" s="35"/>
      <c r="F22" s="35"/>
      <c r="G22" s="35"/>
      <c r="H22" s="35"/>
      <c r="I22" s="35"/>
      <c r="J22" s="35"/>
      <c r="K22" s="35"/>
    </row>
    <row r="23" spans="2:12" s="2" customFormat="1">
      <c r="B23" s="224" t="s">
        <v>500</v>
      </c>
      <c r="C23" s="151" t="s">
        <v>128</v>
      </c>
      <c r="D23" s="629">
        <v>0.78400000000000003</v>
      </c>
      <c r="E23" s="630">
        <v>0</v>
      </c>
      <c r="F23" s="630">
        <v>0.4375</v>
      </c>
      <c r="G23" s="630">
        <v>0</v>
      </c>
      <c r="H23" s="630">
        <v>0</v>
      </c>
      <c r="I23" s="630">
        <v>0</v>
      </c>
      <c r="J23" s="630">
        <v>0</v>
      </c>
      <c r="K23" s="630">
        <v>0</v>
      </c>
    </row>
    <row r="24" spans="2:12" s="2" customFormat="1">
      <c r="B24" s="35"/>
      <c r="C24" s="137"/>
      <c r="D24" s="35"/>
      <c r="E24" s="35"/>
      <c r="F24" s="35"/>
      <c r="G24" s="35"/>
      <c r="H24" s="35"/>
      <c r="I24" s="35"/>
      <c r="J24" s="35"/>
      <c r="K24" s="35"/>
    </row>
    <row r="25" spans="2:12" s="2" customFormat="1">
      <c r="B25" s="81"/>
      <c r="C25" s="149"/>
      <c r="D25" s="81"/>
      <c r="E25" s="81"/>
      <c r="F25" s="81"/>
      <c r="G25" s="81"/>
      <c r="H25" s="81"/>
      <c r="I25" s="81"/>
      <c r="J25" s="81"/>
      <c r="K25" s="81"/>
      <c r="L25" s="81"/>
    </row>
    <row r="26" spans="2:12" s="2" customFormat="1">
      <c r="B26" s="35"/>
      <c r="C26" s="137"/>
      <c r="D26" s="35"/>
      <c r="E26" s="35"/>
      <c r="F26" s="35"/>
      <c r="G26" s="35"/>
      <c r="H26" s="35"/>
      <c r="I26" s="35"/>
      <c r="J26" s="35"/>
      <c r="K26" s="35"/>
    </row>
    <row r="27" spans="2:12" s="2" customFormat="1">
      <c r="B27" s="51" t="s">
        <v>392</v>
      </c>
      <c r="C27" s="137"/>
      <c r="D27" s="35"/>
      <c r="E27" s="35"/>
      <c r="F27" s="35"/>
      <c r="G27" s="35"/>
      <c r="H27" s="35"/>
      <c r="I27" s="35"/>
      <c r="J27" s="35"/>
      <c r="K27" s="35"/>
    </row>
    <row r="28" spans="2:12" s="2" customFormat="1">
      <c r="B28" s="224" t="s">
        <v>498</v>
      </c>
      <c r="C28" s="154" t="str">
        <f>'RFPR cover'!$C$14</f>
        <v>£m 12/13</v>
      </c>
      <c r="D28" s="677">
        <f>(SUM(D10,D11,D21)-D23)/Data!C34</f>
        <v>-0.71666805354301499</v>
      </c>
      <c r="E28" s="677">
        <f>(SUM(E10,E11,E21)-E23)/Data!D34</f>
        <v>7.8096628174718491E-2</v>
      </c>
      <c r="F28" s="677">
        <f>(SUM(F10,F11,F21)-F23)/Data!E34</f>
        <v>-0.292764832234784</v>
      </c>
      <c r="G28" s="677">
        <f>(SUM(G10,G11,G21)-G23)/Data!F34</f>
        <v>6.1715431615062051E-2</v>
      </c>
      <c r="H28" s="677">
        <f>(SUM(H10,H11,H21)-H23)/Data!G34</f>
        <v>9.130454883499288E-2</v>
      </c>
      <c r="I28" s="677">
        <f>(SUM(I10,I11,I21)-I23)/Data!H34</f>
        <v>9.9548724397246838E-2</v>
      </c>
      <c r="J28" s="677">
        <f>(SUM(J10,J11,J21)-J23)/Data!I34</f>
        <v>8.9884486878030634E-2</v>
      </c>
      <c r="K28" s="677">
        <f>(SUM(K10,K11,K21)-K23)/Data!J34</f>
        <v>7.6512606738348157E-2</v>
      </c>
      <c r="L28" s="35"/>
    </row>
  </sheetData>
  <conditionalFormatting sqref="D6:K6">
    <cfRule type="expression" dxfId="50" priority="24">
      <formula>AND(D$5="Actuals",E$5="Forecast")</formula>
    </cfRule>
  </conditionalFormatting>
  <conditionalFormatting sqref="D5:K5">
    <cfRule type="expression" dxfId="4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5" t="s">
        <v>265</v>
      </c>
      <c r="B1" s="911"/>
      <c r="C1" s="255"/>
      <c r="D1" s="255"/>
      <c r="E1" s="255"/>
      <c r="F1" s="255"/>
      <c r="G1" s="255"/>
      <c r="H1" s="255"/>
      <c r="I1" s="256"/>
      <c r="J1" s="256"/>
      <c r="K1" s="257"/>
      <c r="L1" s="257"/>
      <c r="M1" s="257"/>
      <c r="N1" s="258"/>
    </row>
    <row r="2" spans="1:14" s="31" customFormat="1" ht="21">
      <c r="A2" s="904" t="str">
        <f>'RFPR cover'!C5</f>
        <v>WPD-SWALES</v>
      </c>
      <c r="B2" s="896"/>
      <c r="C2" s="29"/>
      <c r="D2" s="29"/>
      <c r="E2" s="29"/>
      <c r="F2" s="29"/>
      <c r="G2" s="29"/>
      <c r="H2" s="29"/>
      <c r="I2" s="27"/>
      <c r="J2" s="27"/>
      <c r="K2" s="27"/>
      <c r="L2" s="27"/>
      <c r="M2" s="27"/>
      <c r="N2" s="122"/>
    </row>
    <row r="3" spans="1:14" s="31" customFormat="1" ht="22.8">
      <c r="A3" s="907">
        <f>'RFPR cover'!C7</f>
        <v>2020</v>
      </c>
      <c r="B3" s="913" t="str">
        <f>'R1 - RoRE'!B3</f>
        <v/>
      </c>
      <c r="C3" s="259"/>
      <c r="D3" s="259"/>
      <c r="E3" s="259"/>
      <c r="F3" s="259"/>
      <c r="G3" s="259"/>
      <c r="H3" s="259"/>
      <c r="I3" s="254"/>
      <c r="J3" s="254"/>
      <c r="K3" s="254"/>
      <c r="L3" s="254"/>
      <c r="M3" s="254"/>
      <c r="N3" s="260"/>
    </row>
    <row r="4" spans="1:14" s="31" customFormat="1" ht="12.75" customHeight="1">
      <c r="A4" s="39"/>
      <c r="B4" s="39"/>
      <c r="C4" s="39"/>
      <c r="D4" s="39"/>
      <c r="E4" s="39"/>
      <c r="F4" s="39"/>
      <c r="G4" s="39"/>
      <c r="H4" s="39"/>
      <c r="I4" s="34"/>
      <c r="J4" s="34"/>
      <c r="K4" s="34"/>
      <c r="L4" s="33"/>
    </row>
    <row r="5" spans="1:14" s="2" customFormat="1">
      <c r="B5" s="3"/>
      <c r="C5" s="3"/>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row>
    <row r="6" spans="1:14" s="2" customFormat="1" ht="25.2">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L6" s="100" t="str">
        <f>"Cumulative to "&amp;'RFPR cover'!$C$7</f>
        <v>Cumulative to 2020</v>
      </c>
      <c r="M6" s="280" t="s">
        <v>109</v>
      </c>
    </row>
    <row r="7" spans="1:14" s="2" customFormat="1"/>
    <row r="8" spans="1:14">
      <c r="B8" s="476" t="s">
        <v>304</v>
      </c>
      <c r="C8" s="151" t="s">
        <v>128</v>
      </c>
      <c r="D8" s="345">
        <v>40.399945660000029</v>
      </c>
      <c r="E8" s="382">
        <v>37.929775999999997</v>
      </c>
      <c r="F8" s="382">
        <v>38.74622334</v>
      </c>
      <c r="G8" s="382">
        <v>37.508987189999999</v>
      </c>
      <c r="H8" s="382">
        <v>38.187059110000007</v>
      </c>
      <c r="I8" s="382">
        <v>31.964485532884201</v>
      </c>
      <c r="J8" s="382">
        <v>22.893919226129434</v>
      </c>
      <c r="K8" s="383">
        <v>22.831570174959968</v>
      </c>
      <c r="L8" s="35"/>
      <c r="M8" s="35"/>
    </row>
    <row r="9" spans="1:14">
      <c r="B9" s="14"/>
      <c r="C9" s="151"/>
      <c r="D9" s="228"/>
      <c r="E9" s="228"/>
      <c r="F9" s="228"/>
      <c r="G9" s="228"/>
      <c r="H9" s="228"/>
      <c r="I9" s="228"/>
      <c r="J9" s="228"/>
      <c r="K9" s="228"/>
      <c r="L9" s="35"/>
      <c r="M9" s="35"/>
    </row>
    <row r="10" spans="1:14">
      <c r="B10" s="14" t="s">
        <v>476</v>
      </c>
      <c r="C10" s="16"/>
      <c r="D10" s="229"/>
      <c r="E10" s="229"/>
      <c r="F10" s="229"/>
      <c r="G10" s="229"/>
      <c r="H10" s="229"/>
      <c r="I10" s="229"/>
      <c r="J10" s="229"/>
      <c r="K10" s="229"/>
      <c r="L10" s="35"/>
      <c r="M10" s="35"/>
    </row>
    <row r="11" spans="1:14">
      <c r="B11" s="366" t="s">
        <v>12</v>
      </c>
      <c r="C11" s="151" t="s">
        <v>128</v>
      </c>
      <c r="D11" s="374">
        <v>0</v>
      </c>
      <c r="E11" s="375">
        <v>0</v>
      </c>
      <c r="F11" s="375">
        <v>0</v>
      </c>
      <c r="G11" s="375">
        <v>0</v>
      </c>
      <c r="H11" s="375">
        <v>0</v>
      </c>
      <c r="I11" s="375">
        <v>0</v>
      </c>
      <c r="J11" s="375">
        <v>0</v>
      </c>
      <c r="K11" s="379">
        <v>0</v>
      </c>
      <c r="L11" s="35"/>
      <c r="M11" s="35"/>
    </row>
    <row r="12" spans="1:14">
      <c r="B12" s="366" t="s">
        <v>13</v>
      </c>
      <c r="C12" s="151" t="s">
        <v>128</v>
      </c>
      <c r="D12" s="344">
        <v>0.65096399999999999</v>
      </c>
      <c r="E12" s="376">
        <v>0.65096399999999999</v>
      </c>
      <c r="F12" s="376">
        <v>0.65100000000000002</v>
      </c>
      <c r="G12" s="376">
        <v>0.65096399999999999</v>
      </c>
      <c r="H12" s="376">
        <v>0.65096399999999999</v>
      </c>
      <c r="I12" s="376">
        <v>0.6509640000000001</v>
      </c>
      <c r="J12" s="376">
        <v>0.65096399999999999</v>
      </c>
      <c r="K12" s="380">
        <v>0.65096399999999999</v>
      </c>
      <c r="L12" s="35"/>
      <c r="M12" s="35"/>
    </row>
    <row r="13" spans="1:14">
      <c r="B13" s="366" t="s">
        <v>14</v>
      </c>
      <c r="C13" s="151" t="s">
        <v>128</v>
      </c>
      <c r="D13" s="344">
        <v>0</v>
      </c>
      <c r="E13" s="376">
        <v>0</v>
      </c>
      <c r="F13" s="376">
        <v>0</v>
      </c>
      <c r="G13" s="376">
        <v>0</v>
      </c>
      <c r="H13" s="376">
        <v>0</v>
      </c>
      <c r="I13" s="376">
        <v>0</v>
      </c>
      <c r="J13" s="376">
        <v>0</v>
      </c>
      <c r="K13" s="380">
        <v>0</v>
      </c>
      <c r="L13" s="35"/>
      <c r="M13" s="35"/>
    </row>
    <row r="14" spans="1:14">
      <c r="B14" s="366" t="s">
        <v>15</v>
      </c>
      <c r="C14" s="151" t="s">
        <v>128</v>
      </c>
      <c r="D14" s="344">
        <v>0</v>
      </c>
      <c r="E14" s="376">
        <v>0</v>
      </c>
      <c r="F14" s="376">
        <v>0</v>
      </c>
      <c r="G14" s="376">
        <v>0</v>
      </c>
      <c r="H14" s="376">
        <v>0</v>
      </c>
      <c r="I14" s="376">
        <v>0</v>
      </c>
      <c r="J14" s="376">
        <v>0</v>
      </c>
      <c r="K14" s="380">
        <v>0</v>
      </c>
      <c r="L14" s="35"/>
      <c r="M14" s="35"/>
    </row>
    <row r="15" spans="1:14">
      <c r="B15" s="366" t="s">
        <v>16</v>
      </c>
      <c r="C15" s="151" t="s">
        <v>128</v>
      </c>
      <c r="D15" s="344">
        <v>0</v>
      </c>
      <c r="E15" s="376">
        <v>0</v>
      </c>
      <c r="F15" s="376">
        <v>0</v>
      </c>
      <c r="G15" s="376">
        <v>0</v>
      </c>
      <c r="H15" s="376">
        <v>0</v>
      </c>
      <c r="I15" s="376">
        <v>0</v>
      </c>
      <c r="J15" s="376">
        <v>0</v>
      </c>
      <c r="K15" s="380">
        <v>0</v>
      </c>
      <c r="L15" s="35"/>
      <c r="M15" s="35"/>
    </row>
    <row r="16" spans="1:14">
      <c r="B16" s="366" t="s">
        <v>17</v>
      </c>
      <c r="C16" s="151" t="s">
        <v>128</v>
      </c>
      <c r="D16" s="344">
        <v>-4.5399999999999991</v>
      </c>
      <c r="E16" s="376">
        <v>-2.3637000000000015</v>
      </c>
      <c r="F16" s="376">
        <v>-1.1879999999999999</v>
      </c>
      <c r="G16" s="376">
        <v>-1.1460000000000008</v>
      </c>
      <c r="H16" s="376">
        <v>0</v>
      </c>
      <c r="I16" s="376">
        <v>-0.11386727561129462</v>
      </c>
      <c r="J16" s="376">
        <v>0.52108942480920106</v>
      </c>
      <c r="K16" s="380">
        <v>0.90783357900985706</v>
      </c>
      <c r="L16" s="35"/>
    </row>
    <row r="17" spans="2:12">
      <c r="B17" s="366" t="s">
        <v>283</v>
      </c>
      <c r="C17" s="151" t="s">
        <v>128</v>
      </c>
      <c r="D17" s="344">
        <v>-0.44992667999999958</v>
      </c>
      <c r="E17" s="376">
        <v>-0.44992668000000008</v>
      </c>
      <c r="F17" s="376">
        <v>-0.22220000000000001</v>
      </c>
      <c r="G17" s="376">
        <v>-0.16238268000000006</v>
      </c>
      <c r="H17" s="376">
        <v>-0.16238271000000007</v>
      </c>
      <c r="I17" s="376">
        <v>-0.11845016030101896</v>
      </c>
      <c r="J17" s="376">
        <v>-5.8013910301018656E-2</v>
      </c>
      <c r="K17" s="380">
        <v>-5.8013910301018656E-2</v>
      </c>
      <c r="L17" s="35"/>
    </row>
    <row r="18" spans="2:12" ht="12.75" customHeight="1">
      <c r="B18" s="366" t="s">
        <v>18</v>
      </c>
      <c r="C18" s="151" t="s">
        <v>128</v>
      </c>
      <c r="D18" s="344">
        <v>0</v>
      </c>
      <c r="E18" s="376">
        <v>0</v>
      </c>
      <c r="F18" s="376">
        <v>0</v>
      </c>
      <c r="G18" s="376">
        <v>0</v>
      </c>
      <c r="H18" s="376">
        <v>0</v>
      </c>
      <c r="I18" s="376">
        <v>0</v>
      </c>
      <c r="J18" s="376">
        <v>0</v>
      </c>
      <c r="K18" s="380">
        <v>0</v>
      </c>
      <c r="L18" s="35"/>
    </row>
    <row r="19" spans="2:12">
      <c r="B19" s="366" t="s">
        <v>609</v>
      </c>
      <c r="C19" s="151" t="s">
        <v>128</v>
      </c>
      <c r="D19" s="344">
        <v>0.22500000000000001</v>
      </c>
      <c r="E19" s="376">
        <v>0.44400000000000001</v>
      </c>
      <c r="F19" s="376">
        <v>0.51500000000000001</v>
      </c>
      <c r="G19" s="376">
        <v>0.95199999999999996</v>
      </c>
      <c r="H19" s="376">
        <v>-3.3000000000000002E-2</v>
      </c>
      <c r="I19" s="376">
        <v>0.27399999999999997</v>
      </c>
      <c r="J19" s="376">
        <v>0.3</v>
      </c>
      <c r="K19" s="380">
        <v>0.3</v>
      </c>
      <c r="L19" s="35"/>
    </row>
    <row r="20" spans="2:12">
      <c r="B20" s="366" t="s">
        <v>607</v>
      </c>
      <c r="C20" s="151" t="s">
        <v>128</v>
      </c>
      <c r="D20" s="344">
        <v>-0.1663</v>
      </c>
      <c r="E20" s="376">
        <v>-8.6062E-2</v>
      </c>
      <c r="F20" s="376">
        <v>-0.11700000000000001</v>
      </c>
      <c r="G20" s="376">
        <v>-0.17080633000000001</v>
      </c>
      <c r="H20" s="376">
        <v>-0.129547</v>
      </c>
      <c r="I20" s="376">
        <v>-0.12303300000000002</v>
      </c>
      <c r="J20" s="376">
        <v>-0.12303300000000002</v>
      </c>
      <c r="K20" s="380">
        <v>-0.12303300000000002</v>
      </c>
      <c r="L20" s="35"/>
    </row>
    <row r="21" spans="2:12">
      <c r="B21" s="366" t="s">
        <v>610</v>
      </c>
      <c r="C21" s="151" t="s">
        <v>128</v>
      </c>
      <c r="D21" s="344">
        <v>0</v>
      </c>
      <c r="E21" s="376">
        <v>0</v>
      </c>
      <c r="F21" s="376">
        <v>0</v>
      </c>
      <c r="G21" s="376">
        <v>0.26216957000000002</v>
      </c>
      <c r="H21" s="376">
        <v>0</v>
      </c>
      <c r="I21" s="376">
        <v>0</v>
      </c>
      <c r="J21" s="376">
        <v>0</v>
      </c>
      <c r="K21" s="380">
        <v>0</v>
      </c>
      <c r="L21" s="35"/>
    </row>
    <row r="22" spans="2:12">
      <c r="B22" s="366" t="s">
        <v>608</v>
      </c>
      <c r="C22" s="151" t="s">
        <v>128</v>
      </c>
      <c r="D22" s="344">
        <v>0</v>
      </c>
      <c r="E22" s="376">
        <v>0</v>
      </c>
      <c r="F22" s="376">
        <v>0</v>
      </c>
      <c r="G22" s="376">
        <v>0</v>
      </c>
      <c r="H22" s="376">
        <v>-6.4092220000000005E-2</v>
      </c>
      <c r="I22" s="376">
        <v>-4.7219999999999998E-2</v>
      </c>
      <c r="J22" s="376">
        <v>-4.6760999999999997E-2</v>
      </c>
      <c r="K22" s="380">
        <v>-4.6051000000000002E-2</v>
      </c>
      <c r="L22" s="35"/>
    </row>
    <row r="23" spans="2:12">
      <c r="B23" s="366" t="s">
        <v>622</v>
      </c>
      <c r="C23" s="151" t="s">
        <v>128</v>
      </c>
      <c r="D23" s="344">
        <v>0</v>
      </c>
      <c r="E23" s="376">
        <v>0</v>
      </c>
      <c r="F23" s="376">
        <v>0</v>
      </c>
      <c r="G23" s="376">
        <v>0</v>
      </c>
      <c r="H23" s="376">
        <v>0</v>
      </c>
      <c r="I23" s="376">
        <v>0.3780579183333333</v>
      </c>
      <c r="J23" s="376">
        <v>0.3780579183333333</v>
      </c>
      <c r="K23" s="380">
        <v>0.3780579183333333</v>
      </c>
      <c r="L23" s="35"/>
    </row>
    <row r="24" spans="2:12">
      <c r="B24" s="366" t="s">
        <v>352</v>
      </c>
      <c r="C24" s="151" t="s">
        <v>128</v>
      </c>
      <c r="D24" s="344">
        <v>0</v>
      </c>
      <c r="E24" s="376">
        <v>0</v>
      </c>
      <c r="F24" s="376">
        <v>0</v>
      </c>
      <c r="G24" s="376">
        <v>0</v>
      </c>
      <c r="H24" s="376">
        <v>0</v>
      </c>
      <c r="I24" s="376">
        <v>0</v>
      </c>
      <c r="J24" s="376">
        <v>0</v>
      </c>
      <c r="K24" s="380">
        <v>0</v>
      </c>
      <c r="L24" s="35"/>
    </row>
    <row r="25" spans="2:12">
      <c r="B25" s="366" t="s">
        <v>353</v>
      </c>
      <c r="C25" s="151" t="s">
        <v>128</v>
      </c>
      <c r="D25" s="344">
        <v>0</v>
      </c>
      <c r="E25" s="376">
        <v>0</v>
      </c>
      <c r="F25" s="376">
        <v>0</v>
      </c>
      <c r="G25" s="376">
        <v>0</v>
      </c>
      <c r="H25" s="376">
        <v>0</v>
      </c>
      <c r="I25" s="376">
        <v>0</v>
      </c>
      <c r="J25" s="376">
        <v>0</v>
      </c>
      <c r="K25" s="380">
        <v>0</v>
      </c>
      <c r="L25" s="35"/>
    </row>
    <row r="26" spans="2:12">
      <c r="B26" s="366" t="s">
        <v>354</v>
      </c>
      <c r="C26" s="151" t="s">
        <v>128</v>
      </c>
      <c r="D26" s="344">
        <v>0</v>
      </c>
      <c r="E26" s="376">
        <v>0</v>
      </c>
      <c r="F26" s="376">
        <v>0</v>
      </c>
      <c r="G26" s="376">
        <v>0</v>
      </c>
      <c r="H26" s="376">
        <v>0</v>
      </c>
      <c r="I26" s="376">
        <v>0</v>
      </c>
      <c r="J26" s="376">
        <v>0</v>
      </c>
      <c r="K26" s="380">
        <v>0</v>
      </c>
      <c r="L26" s="35"/>
    </row>
    <row r="27" spans="2:12">
      <c r="B27" s="366" t="s">
        <v>355</v>
      </c>
      <c r="C27" s="151" t="s">
        <v>128</v>
      </c>
      <c r="D27" s="377">
        <v>0</v>
      </c>
      <c r="E27" s="378">
        <v>0</v>
      </c>
      <c r="F27" s="378">
        <v>0</v>
      </c>
      <c r="G27" s="378">
        <v>0</v>
      </c>
      <c r="H27" s="378">
        <v>0</v>
      </c>
      <c r="I27" s="378">
        <v>0</v>
      </c>
      <c r="J27" s="378">
        <v>0</v>
      </c>
      <c r="K27" s="381">
        <v>0</v>
      </c>
      <c r="L27" s="35"/>
    </row>
    <row r="28" spans="2:12">
      <c r="B28" s="13" t="s">
        <v>19</v>
      </c>
      <c r="C28" s="151" t="s">
        <v>128</v>
      </c>
      <c r="D28" s="141">
        <v>36.119682980000036</v>
      </c>
      <c r="E28" s="142">
        <v>36.125051320000004</v>
      </c>
      <c r="F28" s="142">
        <v>38.385023340000004</v>
      </c>
      <c r="G28" s="142">
        <v>37.894931749999998</v>
      </c>
      <c r="H28" s="142">
        <v>38.449001180000003</v>
      </c>
      <c r="I28" s="142">
        <v>32.864937015305216</v>
      </c>
      <c r="J28" s="142">
        <v>24.51622265897095</v>
      </c>
      <c r="K28" s="143">
        <v>24.841327762002141</v>
      </c>
      <c r="L28" s="35"/>
    </row>
    <row r="29" spans="2:12">
      <c r="B29" s="367" t="s">
        <v>539</v>
      </c>
      <c r="C29" s="151" t="s">
        <v>128</v>
      </c>
      <c r="D29" s="384"/>
      <c r="E29" s="385"/>
      <c r="F29" s="385"/>
      <c r="G29" s="678"/>
      <c r="H29" s="678"/>
      <c r="I29" s="678">
        <v>6.731686245748298</v>
      </c>
      <c r="J29" s="678">
        <v>6.7485301445578232</v>
      </c>
      <c r="K29" s="679">
        <v>6.7574676445578241</v>
      </c>
      <c r="L29" s="35"/>
    </row>
    <row r="30" spans="2:12">
      <c r="B30" s="343" t="s">
        <v>305</v>
      </c>
      <c r="C30" s="151" t="s">
        <v>128</v>
      </c>
      <c r="D30" s="141">
        <v>36.119682980000036</v>
      </c>
      <c r="E30" s="142">
        <v>36.125051320000004</v>
      </c>
      <c r="F30" s="142">
        <v>38.385023340000004</v>
      </c>
      <c r="G30" s="142">
        <v>37.894931749999998</v>
      </c>
      <c r="H30" s="142">
        <v>38.449001180000003</v>
      </c>
      <c r="I30" s="142">
        <v>39.596623261053516</v>
      </c>
      <c r="J30" s="142">
        <v>31.264752803528772</v>
      </c>
      <c r="K30" s="143">
        <v>31.598795406559965</v>
      </c>
    </row>
    <row r="31" spans="2:12">
      <c r="B31" s="212" t="s">
        <v>21</v>
      </c>
      <c r="C31" s="151" t="s">
        <v>128</v>
      </c>
      <c r="D31" s="583">
        <v>35.989462640000035</v>
      </c>
      <c r="E31" s="584">
        <v>36.022937700000007</v>
      </c>
      <c r="F31" s="584">
        <v>38.432645340000001</v>
      </c>
      <c r="G31" s="584">
        <v>38.165904509999997</v>
      </c>
      <c r="H31" s="584">
        <v>38.453366050000007</v>
      </c>
      <c r="I31" s="584">
        <v>39.601466611053517</v>
      </c>
      <c r="J31" s="584">
        <v>31.269596153528774</v>
      </c>
      <c r="K31" s="680">
        <v>31.603638756559967</v>
      </c>
    </row>
    <row r="32" spans="2:12">
      <c r="B32" s="212" t="s">
        <v>470</v>
      </c>
      <c r="C32" s="151" t="s">
        <v>128</v>
      </c>
      <c r="D32" s="587">
        <v>0.13022034000000005</v>
      </c>
      <c r="E32" s="588">
        <v>0.10211361999999999</v>
      </c>
      <c r="F32" s="588">
        <v>-4.7622000000000005E-2</v>
      </c>
      <c r="G32" s="588">
        <v>-0.27097276000000003</v>
      </c>
      <c r="H32" s="588">
        <v>-4.3648699999999938E-3</v>
      </c>
      <c r="I32" s="588">
        <v>-4.8433499999999937E-3</v>
      </c>
      <c r="J32" s="588">
        <v>-4.8433499999999937E-3</v>
      </c>
      <c r="K32" s="681">
        <v>-4.8433499999999937E-3</v>
      </c>
    </row>
    <row r="33" spans="2:14">
      <c r="B33" s="212"/>
      <c r="D33" s="225" t="s">
        <v>664</v>
      </c>
      <c r="E33" s="226" t="s">
        <v>664</v>
      </c>
      <c r="F33" s="226" t="s">
        <v>664</v>
      </c>
      <c r="G33" s="226" t="s">
        <v>664</v>
      </c>
      <c r="H33" s="226" t="s">
        <v>664</v>
      </c>
      <c r="I33" s="226" t="s">
        <v>664</v>
      </c>
      <c r="J33" s="226" t="s">
        <v>664</v>
      </c>
      <c r="K33" s="227" t="s">
        <v>664</v>
      </c>
    </row>
    <row r="34" spans="2:14">
      <c r="D34" s="23"/>
      <c r="E34" s="23"/>
      <c r="F34" s="23"/>
      <c r="G34" s="23"/>
      <c r="H34" s="23"/>
      <c r="I34" s="23"/>
      <c r="J34" s="23"/>
      <c r="K34" s="23"/>
    </row>
    <row r="35" spans="2:14">
      <c r="B35" s="212" t="s">
        <v>533</v>
      </c>
      <c r="C35" s="151" t="s">
        <v>128</v>
      </c>
      <c r="D35" s="583">
        <v>0</v>
      </c>
      <c r="E35" s="584">
        <v>-0.17449999999999999</v>
      </c>
      <c r="F35" s="584">
        <v>2.1995</v>
      </c>
      <c r="G35" s="584">
        <v>1.800465</v>
      </c>
      <c r="H35" s="584">
        <v>2.251144</v>
      </c>
      <c r="I35" s="584">
        <v>1.7215321800000003</v>
      </c>
      <c r="J35" s="584">
        <v>2.1949535295000002</v>
      </c>
      <c r="K35" s="680">
        <v>2.5198066518660007</v>
      </c>
    </row>
    <row r="36" spans="2:14">
      <c r="D36" s="23"/>
      <c r="E36" s="23"/>
      <c r="F36" s="23"/>
      <c r="G36" s="23"/>
      <c r="H36" s="23"/>
      <c r="I36" s="23"/>
      <c r="J36" s="23"/>
      <c r="K36" s="23"/>
    </row>
    <row r="37" spans="2:14">
      <c r="B37" s="212" t="s">
        <v>82</v>
      </c>
      <c r="C37" s="151" t="s">
        <v>128</v>
      </c>
      <c r="D37" s="874">
        <v>6.5063777633535045</v>
      </c>
      <c r="E37" s="874">
        <v>13.470669304392185</v>
      </c>
      <c r="F37" s="874">
        <v>23.983423229136559</v>
      </c>
      <c r="G37" s="874">
        <v>20.115239259919562</v>
      </c>
      <c r="H37" s="874">
        <v>17.094238390683856</v>
      </c>
      <c r="I37" s="874">
        <v>12.102936478214932</v>
      </c>
      <c r="J37" s="874">
        <v>16.232781881325934</v>
      </c>
      <c r="K37" s="874">
        <v>19.731014699412352</v>
      </c>
      <c r="N37" s="320"/>
    </row>
    <row r="38" spans="2:14" s="31" customFormat="1">
      <c r="B38" s="211"/>
      <c r="C38" s="819"/>
      <c r="D38" s="821"/>
      <c r="E38" s="821"/>
      <c r="F38" s="821"/>
      <c r="G38" s="821"/>
      <c r="H38" s="821"/>
      <c r="I38" s="821"/>
      <c r="J38" s="821"/>
      <c r="K38" s="821"/>
      <c r="L38"/>
      <c r="M38"/>
      <c r="N38" s="820"/>
    </row>
    <row r="39" spans="2:14">
      <c r="B39" s="212" t="s">
        <v>484</v>
      </c>
      <c r="C39" s="151" t="s">
        <v>128</v>
      </c>
      <c r="D39" s="101">
        <v>29.61330521664653</v>
      </c>
      <c r="E39" s="101">
        <v>22.654382015607819</v>
      </c>
      <c r="F39" s="101">
        <v>14.401600110863445</v>
      </c>
      <c r="G39" s="101">
        <v>17.779692490080436</v>
      </c>
      <c r="H39" s="101">
        <v>21.354762789316148</v>
      </c>
      <c r="I39" s="101">
        <v>27.493686782838584</v>
      </c>
      <c r="J39" s="101">
        <v>15.031970922202838</v>
      </c>
      <c r="K39" s="101">
        <v>11.867780707147613</v>
      </c>
    </row>
    <row r="40" spans="2:14">
      <c r="B40" s="212"/>
      <c r="C40" s="151"/>
      <c r="D40" s="151"/>
      <c r="E40" s="151"/>
      <c r="F40" s="151"/>
      <c r="G40" s="151"/>
      <c r="H40" s="151"/>
      <c r="I40" s="151"/>
      <c r="J40" s="151"/>
      <c r="K40" s="151"/>
      <c r="L40" s="151"/>
      <c r="N40" s="320"/>
    </row>
    <row r="41" spans="2:14">
      <c r="B41" s="847" t="s">
        <v>374</v>
      </c>
      <c r="C41" s="151" t="s">
        <v>127</v>
      </c>
      <c r="D41" s="502">
        <v>1.0603167467048125</v>
      </c>
      <c r="E41" s="502">
        <v>1.0830366813119445</v>
      </c>
      <c r="F41" s="502">
        <v>1.1235639113109226</v>
      </c>
      <c r="G41" s="502">
        <v>1.1578951670583426</v>
      </c>
      <c r="H41" s="502">
        <v>1.1878696229692449</v>
      </c>
      <c r="I41" s="502">
        <v>1.2080634065597218</v>
      </c>
      <c r="J41" s="502">
        <v>1.2337347539491161</v>
      </c>
      <c r="K41" s="502">
        <v>1.2655034238633056</v>
      </c>
      <c r="L41" s="151"/>
      <c r="N41" s="320"/>
    </row>
    <row r="42" spans="2:14">
      <c r="L42" s="154"/>
      <c r="M42" s="154"/>
      <c r="N42" s="154"/>
    </row>
    <row r="43" spans="2:14">
      <c r="B43" s="830" t="s">
        <v>430</v>
      </c>
      <c r="C43" s="155" t="s">
        <v>159</v>
      </c>
      <c r="D43" s="144">
        <v>27.928734794274398</v>
      </c>
      <c r="E43" s="145">
        <v>20.917465129773134</v>
      </c>
      <c r="F43" s="145">
        <v>12.817784521096199</v>
      </c>
      <c r="G43" s="145">
        <v>15.35518326348155</v>
      </c>
      <c r="H43" s="145">
        <v>17.977362478499074</v>
      </c>
      <c r="I43" s="145">
        <v>22.758479922121047</v>
      </c>
      <c r="J43" s="145">
        <v>12.184118891103893</v>
      </c>
      <c r="K43" s="146">
        <v>9.3779127605343575</v>
      </c>
      <c r="L43" s="686">
        <v>94.99653018712435</v>
      </c>
      <c r="M43" s="687">
        <v>139.31704176088363</v>
      </c>
    </row>
    <row r="44" spans="2:14">
      <c r="B44" s="212"/>
      <c r="C44" s="66"/>
      <c r="D44" s="802"/>
      <c r="E44" s="802"/>
      <c r="F44" s="802"/>
      <c r="G44" s="802"/>
      <c r="H44" s="802"/>
      <c r="I44" s="802"/>
      <c r="J44" s="802"/>
      <c r="K44" s="802"/>
      <c r="L44" s="825"/>
      <c r="M44" s="825"/>
    </row>
    <row r="45" spans="2:14">
      <c r="B45" s="830" t="s">
        <v>521</v>
      </c>
      <c r="C45" s="151"/>
      <c r="D45" s="802"/>
      <c r="E45" s="802"/>
      <c r="F45" s="802"/>
      <c r="G45" s="802"/>
      <c r="H45" s="802"/>
      <c r="I45" s="802"/>
      <c r="J45" s="802"/>
      <c r="K45" s="802"/>
      <c r="L45" s="825"/>
      <c r="M45" s="825"/>
    </row>
    <row r="46" spans="2:14">
      <c r="B46" s="366" t="s">
        <v>505</v>
      </c>
      <c r="C46" s="151" t="s">
        <v>128</v>
      </c>
      <c r="D46" s="873">
        <v>0.44992667999999958</v>
      </c>
      <c r="E46" s="873">
        <v>0.44992668000000008</v>
      </c>
      <c r="F46" s="873">
        <v>0.22220000000000001</v>
      </c>
      <c r="G46" s="873">
        <v>0.16238268000000006</v>
      </c>
      <c r="H46" s="873">
        <v>0.16238271000000007</v>
      </c>
      <c r="I46" s="873">
        <v>0.11845016030101896</v>
      </c>
      <c r="J46" s="873">
        <v>5.8013910301018656E-2</v>
      </c>
      <c r="K46" s="873">
        <v>5.8013910301018656E-2</v>
      </c>
      <c r="L46" s="686">
        <v>1.4468187499999998</v>
      </c>
      <c r="M46" s="686">
        <v>1.681296730903056</v>
      </c>
    </row>
    <row r="47" spans="2:14">
      <c r="B47" s="366" t="s">
        <v>542</v>
      </c>
      <c r="C47" s="151" t="s">
        <v>128</v>
      </c>
      <c r="D47" s="384"/>
      <c r="E47" s="385"/>
      <c r="F47" s="385"/>
      <c r="G47" s="678"/>
      <c r="H47" s="678"/>
      <c r="I47" s="678">
        <v>0.1</v>
      </c>
      <c r="J47" s="678">
        <v>0.1</v>
      </c>
      <c r="K47" s="678">
        <v>0.1</v>
      </c>
      <c r="L47" s="686">
        <v>0</v>
      </c>
      <c r="M47" s="686">
        <v>0.30000000000000004</v>
      </c>
    </row>
    <row r="48" spans="2:14">
      <c r="B48" s="366" t="s">
        <v>524</v>
      </c>
      <c r="C48" s="151" t="s">
        <v>128</v>
      </c>
      <c r="D48" s="873">
        <v>0</v>
      </c>
      <c r="E48" s="873">
        <v>0</v>
      </c>
      <c r="F48" s="873">
        <v>0</v>
      </c>
      <c r="G48" s="873">
        <v>0</v>
      </c>
      <c r="H48" s="873">
        <v>0</v>
      </c>
      <c r="I48" s="873">
        <v>0</v>
      </c>
      <c r="J48" s="873">
        <v>0</v>
      </c>
      <c r="K48" s="873">
        <v>0</v>
      </c>
      <c r="L48" s="686">
        <v>0</v>
      </c>
      <c r="M48" s="686">
        <v>0</v>
      </c>
    </row>
    <row r="49" spans="1:14">
      <c r="B49" s="366" t="s">
        <v>525</v>
      </c>
      <c r="C49" s="151" t="s">
        <v>128</v>
      </c>
      <c r="D49" s="873">
        <v>0</v>
      </c>
      <c r="E49" s="873">
        <v>0</v>
      </c>
      <c r="F49" s="873">
        <v>0</v>
      </c>
      <c r="G49" s="873">
        <v>0</v>
      </c>
      <c r="H49" s="873">
        <v>0</v>
      </c>
      <c r="I49" s="873">
        <v>0</v>
      </c>
      <c r="J49" s="873">
        <v>0</v>
      </c>
      <c r="K49" s="873">
        <v>0</v>
      </c>
      <c r="L49" s="686">
        <v>0</v>
      </c>
      <c r="M49" s="686">
        <v>0</v>
      </c>
    </row>
    <row r="50" spans="1:14">
      <c r="B50" s="366" t="s">
        <v>506</v>
      </c>
      <c r="C50" s="151" t="s">
        <v>128</v>
      </c>
      <c r="D50" s="873">
        <v>0</v>
      </c>
      <c r="E50" s="873">
        <v>0</v>
      </c>
      <c r="F50" s="873">
        <v>0</v>
      </c>
      <c r="G50" s="873">
        <v>0</v>
      </c>
      <c r="H50" s="873">
        <v>0</v>
      </c>
      <c r="I50" s="873">
        <v>0</v>
      </c>
      <c r="J50" s="873">
        <v>0</v>
      </c>
      <c r="K50" s="873">
        <v>0</v>
      </c>
      <c r="L50" s="686">
        <v>0</v>
      </c>
      <c r="M50" s="686">
        <v>0</v>
      </c>
    </row>
    <row r="51" spans="1:14">
      <c r="B51" s="366" t="s">
        <v>506</v>
      </c>
      <c r="C51" s="151" t="s">
        <v>128</v>
      </c>
      <c r="D51" s="873">
        <v>0</v>
      </c>
      <c r="E51" s="873">
        <v>0</v>
      </c>
      <c r="F51" s="873">
        <v>0</v>
      </c>
      <c r="G51" s="873">
        <v>0</v>
      </c>
      <c r="H51" s="873">
        <v>0</v>
      </c>
      <c r="I51" s="873">
        <v>0</v>
      </c>
      <c r="J51" s="873">
        <v>0</v>
      </c>
      <c r="K51" s="873">
        <v>0</v>
      </c>
      <c r="L51" s="686">
        <v>0</v>
      </c>
      <c r="M51" s="686">
        <v>0</v>
      </c>
    </row>
    <row r="52" spans="1:14">
      <c r="B52" s="366" t="s">
        <v>506</v>
      </c>
      <c r="C52" s="151" t="s">
        <v>128</v>
      </c>
      <c r="D52" s="873">
        <v>0</v>
      </c>
      <c r="E52" s="873">
        <v>0</v>
      </c>
      <c r="F52" s="873">
        <v>0</v>
      </c>
      <c r="G52" s="873">
        <v>0</v>
      </c>
      <c r="H52" s="873">
        <v>0</v>
      </c>
      <c r="I52" s="873">
        <v>0</v>
      </c>
      <c r="J52" s="873">
        <v>0</v>
      </c>
      <c r="K52" s="873">
        <v>0</v>
      </c>
      <c r="L52" s="686">
        <v>0</v>
      </c>
      <c r="M52" s="686">
        <v>0</v>
      </c>
    </row>
    <row r="53" spans="1:14">
      <c r="B53" s="366" t="s">
        <v>506</v>
      </c>
      <c r="C53" s="151" t="s">
        <v>128</v>
      </c>
      <c r="D53" s="873">
        <v>0</v>
      </c>
      <c r="E53" s="873">
        <v>0</v>
      </c>
      <c r="F53" s="873">
        <v>0</v>
      </c>
      <c r="G53" s="873">
        <v>0</v>
      </c>
      <c r="H53" s="873">
        <v>0</v>
      </c>
      <c r="I53" s="873">
        <v>0</v>
      </c>
      <c r="J53" s="873">
        <v>0</v>
      </c>
      <c r="K53" s="873">
        <v>0</v>
      </c>
      <c r="L53" s="686">
        <v>0</v>
      </c>
      <c r="M53" s="686">
        <v>0</v>
      </c>
    </row>
    <row r="54" spans="1:14" s="859" customFormat="1">
      <c r="B54" s="858"/>
      <c r="C54" s="860"/>
      <c r="D54" s="861"/>
      <c r="E54" s="861"/>
      <c r="F54" s="861"/>
      <c r="G54" s="861"/>
      <c r="H54" s="861"/>
      <c r="I54" s="861"/>
      <c r="J54" s="861"/>
      <c r="K54" s="861"/>
      <c r="L54" s="862"/>
      <c r="M54" s="862"/>
    </row>
    <row r="55" spans="1:14">
      <c r="B55" s="853" t="s">
        <v>522</v>
      </c>
      <c r="C55" s="234" t="s">
        <v>128</v>
      </c>
      <c r="D55" s="144">
        <v>0.44992667999999958</v>
      </c>
      <c r="E55" s="144">
        <v>0.44992668000000008</v>
      </c>
      <c r="F55" s="144">
        <v>0.22220000000000001</v>
      </c>
      <c r="G55" s="144">
        <v>0.16238268000000006</v>
      </c>
      <c r="H55" s="144">
        <v>0.16238271000000007</v>
      </c>
      <c r="I55" s="144">
        <v>0.21845016030101896</v>
      </c>
      <c r="J55" s="144">
        <v>0.15801391030101866</v>
      </c>
      <c r="K55" s="144">
        <v>0.15801391030101866</v>
      </c>
      <c r="L55" s="686">
        <v>1.4468187499999998</v>
      </c>
      <c r="M55" s="687">
        <v>1.9812967309030562</v>
      </c>
    </row>
    <row r="56" spans="1:14">
      <c r="B56" s="853" t="s">
        <v>522</v>
      </c>
      <c r="C56" s="155" t="s">
        <v>159</v>
      </c>
      <c r="D56" s="144">
        <v>0.42433233408625698</v>
      </c>
      <c r="E56" s="144">
        <v>0.41543069386622994</v>
      </c>
      <c r="F56" s="144">
        <v>0.19776356090037397</v>
      </c>
      <c r="G56" s="144">
        <v>0.14023953516667378</v>
      </c>
      <c r="H56" s="144">
        <v>0.13670078505257333</v>
      </c>
      <c r="I56" s="144">
        <v>0.18082673402310334</v>
      </c>
      <c r="J56" s="144">
        <v>0.12807770049050249</v>
      </c>
      <c r="K56" s="144">
        <v>0.12486249133853522</v>
      </c>
      <c r="L56" s="686">
        <v>1.3144669090721082</v>
      </c>
      <c r="M56" s="687">
        <v>1.7482338349242492</v>
      </c>
    </row>
    <row r="57" spans="1:14">
      <c r="B57" s="212"/>
      <c r="C57" s="66"/>
      <c r="D57" s="802"/>
      <c r="E57" s="802"/>
      <c r="F57" s="802"/>
      <c r="G57" s="802"/>
      <c r="H57" s="802"/>
      <c r="I57" s="802"/>
      <c r="J57" s="802"/>
      <c r="K57" s="802"/>
      <c r="L57" s="825"/>
      <c r="M57" s="825"/>
    </row>
    <row r="58" spans="1:14" s="2" customFormat="1">
      <c r="A58" s="1"/>
    </row>
    <row r="59" spans="1:14" s="2" customFormat="1">
      <c r="A59" s="1"/>
      <c r="B59" s="826" t="s">
        <v>440</v>
      </c>
      <c r="C59" s="81"/>
      <c r="D59" s="81"/>
      <c r="E59" s="81"/>
      <c r="F59" s="81"/>
      <c r="G59" s="81"/>
      <c r="H59" s="81"/>
      <c r="I59" s="81"/>
      <c r="J59" s="81"/>
      <c r="K59" s="81"/>
      <c r="L59" s="81"/>
      <c r="M59" s="81"/>
      <c r="N59" s="81"/>
    </row>
    <row r="60" spans="1:14" s="2" customFormat="1">
      <c r="A60" s="1"/>
      <c r="B60" s="365" t="s">
        <v>441</v>
      </c>
    </row>
    <row r="61" spans="1:14" s="2" customFormat="1">
      <c r="A61" s="1"/>
    </row>
    <row r="62" spans="1:14" s="31" customFormat="1">
      <c r="B62" s="212" t="s">
        <v>115</v>
      </c>
      <c r="C62" s="154" t="s">
        <v>7</v>
      </c>
      <c r="D62" s="882">
        <v>0.65</v>
      </c>
      <c r="E62" s="883">
        <v>0.65</v>
      </c>
      <c r="F62" s="883">
        <v>0.65</v>
      </c>
      <c r="G62" s="883">
        <v>0.65</v>
      </c>
      <c r="H62" s="883">
        <v>0.65</v>
      </c>
      <c r="I62" s="883">
        <v>0.65</v>
      </c>
      <c r="J62" s="883">
        <v>0.65</v>
      </c>
      <c r="K62" s="884">
        <v>0.65</v>
      </c>
      <c r="N62" s="820"/>
    </row>
    <row r="63" spans="1:14" s="31" customFormat="1">
      <c r="B63" s="212" t="s">
        <v>403</v>
      </c>
      <c r="C63" s="154" t="s">
        <v>7</v>
      </c>
      <c r="D63" s="883">
        <v>0.63351205661484777</v>
      </c>
      <c r="E63" s="883">
        <v>0.62702950783278666</v>
      </c>
      <c r="F63" s="883">
        <v>0.60494869056263623</v>
      </c>
      <c r="G63" s="883">
        <v>0.59657549309067348</v>
      </c>
      <c r="H63" s="883">
        <v>0.58009509394364733</v>
      </c>
      <c r="I63" s="883">
        <v>0.59238574303707814</v>
      </c>
      <c r="J63" s="883">
        <v>0.60361045426458082</v>
      </c>
      <c r="K63" s="884">
        <v>0.57592446151952748</v>
      </c>
      <c r="N63" s="820"/>
    </row>
    <row r="64" spans="1:14" s="31" customFormat="1">
      <c r="B64" s="212"/>
      <c r="C64" s="154"/>
      <c r="D64" s="154"/>
      <c r="E64" s="154"/>
      <c r="F64" s="154"/>
      <c r="G64" s="154"/>
      <c r="H64" s="154"/>
      <c r="I64" s="154"/>
      <c r="J64" s="154"/>
      <c r="K64" s="154"/>
      <c r="N64" s="820"/>
    </row>
    <row r="65" spans="2:15">
      <c r="B65" s="212" t="s">
        <v>430</v>
      </c>
      <c r="C65" s="151" t="s">
        <v>128</v>
      </c>
      <c r="D65" s="94">
        <v>29.61330521664653</v>
      </c>
      <c r="E65" s="95">
        <v>22.654382015607819</v>
      </c>
      <c r="F65" s="95">
        <v>14.401600110863445</v>
      </c>
      <c r="G65" s="95">
        <v>17.779692490080436</v>
      </c>
      <c r="H65" s="95">
        <v>21.354762789316148</v>
      </c>
      <c r="I65" s="95">
        <v>27.493686782838584</v>
      </c>
      <c r="J65" s="95">
        <v>15.031970922202838</v>
      </c>
      <c r="K65" s="96">
        <v>11.867780707147613</v>
      </c>
      <c r="L65" s="31"/>
      <c r="M65" s="31"/>
    </row>
    <row r="66" spans="2:15" s="31" customFormat="1">
      <c r="B66" s="212" t="s">
        <v>448</v>
      </c>
      <c r="C66" s="151" t="s">
        <v>128</v>
      </c>
      <c r="D66" s="94">
        <v>0.77072329525710592</v>
      </c>
      <c r="E66" s="94">
        <v>0.82991677128750352</v>
      </c>
      <c r="F66" s="94">
        <v>1.0725057399235813</v>
      </c>
      <c r="G66" s="94">
        <v>1.5922063767001446</v>
      </c>
      <c r="H66" s="94">
        <v>2.5733758175652803</v>
      </c>
      <c r="I66" s="94">
        <v>2.673981191788076</v>
      </c>
      <c r="J66" s="94">
        <v>1.1552588224115827</v>
      </c>
      <c r="K66" s="94">
        <v>1.5264367207648382</v>
      </c>
      <c r="N66" s="820"/>
    </row>
    <row r="67" spans="2:15">
      <c r="B67" s="212" t="s">
        <v>447</v>
      </c>
      <c r="C67" s="151" t="s">
        <v>128</v>
      </c>
      <c r="D67" s="101">
        <v>30.384028511903637</v>
      </c>
      <c r="E67" s="102">
        <v>23.484298786895323</v>
      </c>
      <c r="F67" s="102">
        <v>15.474105850787026</v>
      </c>
      <c r="G67" s="102">
        <v>19.37189886678058</v>
      </c>
      <c r="H67" s="102">
        <v>23.928138606881429</v>
      </c>
      <c r="I67" s="102">
        <v>30.16766797462666</v>
      </c>
      <c r="J67" s="102">
        <v>16.18722974461442</v>
      </c>
      <c r="K67" s="103">
        <v>13.394217427912452</v>
      </c>
      <c r="L67" s="31"/>
      <c r="M67" s="31"/>
    </row>
    <row r="68" spans="2:15">
      <c r="B68" s="212"/>
      <c r="C68" s="151"/>
      <c r="D68" s="151"/>
      <c r="E68" s="151"/>
      <c r="F68" s="151"/>
      <c r="G68" s="151"/>
      <c r="H68" s="151"/>
      <c r="I68" s="151"/>
      <c r="J68" s="151"/>
      <c r="K68" s="151"/>
      <c r="L68" s="151"/>
      <c r="M68" s="151"/>
      <c r="N68" s="151"/>
      <c r="O68" s="151"/>
    </row>
    <row r="69" spans="2:15">
      <c r="B69" s="830" t="s">
        <v>447</v>
      </c>
      <c r="C69" s="155" t="s">
        <v>159</v>
      </c>
      <c r="D69" s="144">
        <v>28.655615037986774</v>
      </c>
      <c r="E69" s="145">
        <v>21.683751983771632</v>
      </c>
      <c r="F69" s="145">
        <v>13.772341470751364</v>
      </c>
      <c r="G69" s="145">
        <v>16.730270077899455</v>
      </c>
      <c r="H69" s="145">
        <v>20.143741488287013</v>
      </c>
      <c r="I69" s="145">
        <v>24.971924330145075</v>
      </c>
      <c r="J69" s="145">
        <v>13.120510460453513</v>
      </c>
      <c r="K69" s="146">
        <v>10.584102085652862</v>
      </c>
      <c r="L69" s="686">
        <v>100.98572005869624</v>
      </c>
      <c r="M69" s="687">
        <v>149.66225693494769</v>
      </c>
    </row>
    <row r="70" spans="2:15">
      <c r="B70" s="368" t="s">
        <v>523</v>
      </c>
      <c r="C70" s="158" t="s">
        <v>159</v>
      </c>
      <c r="D70" s="94">
        <v>0.43537611364475282</v>
      </c>
      <c r="E70" s="94">
        <v>0.43064951113123662</v>
      </c>
      <c r="F70" s="94">
        <v>0.21249126841763688</v>
      </c>
      <c r="G70" s="94">
        <v>0.15279826093104903</v>
      </c>
      <c r="H70" s="94">
        <v>0.15317404200078347</v>
      </c>
      <c r="I70" s="94">
        <v>0.19841358185364089</v>
      </c>
      <c r="J70" s="94">
        <v>0.13792091361349318</v>
      </c>
      <c r="K70" s="94">
        <v>0.140922334078175</v>
      </c>
      <c r="L70" s="682">
        <v>1.3844891961254586</v>
      </c>
      <c r="M70" s="683">
        <v>1.8617460256707679</v>
      </c>
      <c r="N70" s="154"/>
    </row>
    <row r="72" spans="2:15">
      <c r="B72" s="822" t="s">
        <v>318</v>
      </c>
      <c r="C72" s="823"/>
      <c r="D72" s="823"/>
      <c r="E72" s="823"/>
      <c r="F72" s="823"/>
      <c r="G72" s="823"/>
      <c r="H72" s="823"/>
      <c r="I72" s="823"/>
      <c r="J72" s="823"/>
      <c r="K72" s="823"/>
      <c r="L72" s="823"/>
      <c r="M72" s="823"/>
      <c r="N72" s="823"/>
      <c r="O72" s="154"/>
    </row>
    <row r="73" spans="2:15" s="31" customFormat="1">
      <c r="B73" s="824"/>
      <c r="C73" s="66"/>
      <c r="D73" s="66"/>
      <c r="E73" s="66"/>
      <c r="F73" s="66"/>
      <c r="G73" s="66"/>
      <c r="H73" s="66"/>
      <c r="I73" s="66"/>
      <c r="J73" s="66"/>
      <c r="K73" s="66"/>
      <c r="L73" s="66"/>
      <c r="M73" s="66"/>
      <c r="N73" s="66"/>
      <c r="O73" s="66"/>
    </row>
    <row r="74" spans="2:15">
      <c r="B74" s="365" t="s">
        <v>477</v>
      </c>
      <c r="C74" s="364"/>
      <c r="D74" s="364"/>
      <c r="E74" s="364"/>
      <c r="F74" s="364"/>
      <c r="G74" s="364"/>
      <c r="H74" s="364"/>
      <c r="I74" s="364"/>
      <c r="J74" s="364"/>
      <c r="K74" s="364"/>
      <c r="L74" s="364"/>
      <c r="M74" s="364"/>
      <c r="N74" s="364"/>
      <c r="O74" s="154"/>
    </row>
    <row r="75" spans="2:15">
      <c r="B75" s="365" t="s">
        <v>347</v>
      </c>
      <c r="C75" s="364"/>
      <c r="D75" s="364"/>
      <c r="E75" s="364"/>
      <c r="F75" s="364"/>
      <c r="G75" s="364"/>
      <c r="H75" s="364"/>
      <c r="I75" s="364"/>
      <c r="J75" s="364"/>
      <c r="K75" s="364"/>
      <c r="L75" s="364"/>
      <c r="M75" s="364"/>
      <c r="N75" s="364"/>
      <c r="O75" s="154"/>
    </row>
    <row r="76" spans="2:15">
      <c r="B76" s="365" t="s">
        <v>348</v>
      </c>
      <c r="C76" s="364"/>
      <c r="D76" s="364"/>
      <c r="E76" s="364"/>
      <c r="F76" s="364"/>
      <c r="G76" s="364"/>
      <c r="H76" s="364"/>
      <c r="I76" s="364"/>
      <c r="J76" s="364"/>
      <c r="K76" s="364"/>
      <c r="L76" s="364"/>
      <c r="M76" s="364"/>
      <c r="N76" s="364"/>
      <c r="O76" s="154"/>
    </row>
    <row r="77" spans="2:15">
      <c r="B77" s="365" t="s">
        <v>529</v>
      </c>
      <c r="C77" s="364"/>
      <c r="D77" s="364"/>
      <c r="E77" s="364"/>
      <c r="F77" s="364"/>
      <c r="G77" s="364"/>
      <c r="H77" s="364"/>
      <c r="I77" s="364"/>
      <c r="J77" s="364"/>
      <c r="K77" s="364"/>
      <c r="L77" s="364"/>
      <c r="M77" s="364"/>
      <c r="N77" s="364"/>
      <c r="O77" s="154"/>
    </row>
    <row r="78" spans="2:15" s="31" customFormat="1">
      <c r="B78" s="369"/>
      <c r="C78" s="369"/>
      <c r="D78" s="369"/>
      <c r="E78" s="369"/>
      <c r="F78" s="369"/>
      <c r="G78" s="369"/>
      <c r="H78" s="369"/>
      <c r="I78" s="369"/>
      <c r="J78" s="369"/>
      <c r="K78" s="369"/>
      <c r="L78" s="369"/>
      <c r="M78" s="369"/>
      <c r="N78" s="369"/>
      <c r="O78" s="66"/>
    </row>
    <row r="79" spans="2:15">
      <c r="B79" s="368" t="s">
        <v>233</v>
      </c>
      <c r="C79" s="154" t="s">
        <v>159</v>
      </c>
      <c r="D79" s="594">
        <v>13.911081028941394</v>
      </c>
      <c r="E79" s="594">
        <v>13.442504113560513</v>
      </c>
      <c r="F79" s="594">
        <v>12.96019008426387</v>
      </c>
      <c r="G79" s="594">
        <v>11.54960095267599</v>
      </c>
      <c r="H79" s="594">
        <v>9.9042374479702939</v>
      </c>
      <c r="I79" s="594">
        <v>7.0345594835528358</v>
      </c>
      <c r="J79" s="891"/>
      <c r="K79" s="894"/>
      <c r="L79" s="892"/>
      <c r="M79" s="892"/>
      <c r="O79" s="66"/>
    </row>
    <row r="80" spans="2:15">
      <c r="B80" s="368" t="s">
        <v>317</v>
      </c>
      <c r="C80" s="154" t="s">
        <v>159</v>
      </c>
      <c r="D80" s="684">
        <v>13.911081028941394</v>
      </c>
      <c r="E80" s="685">
        <v>13.443300059887234</v>
      </c>
      <c r="F80" s="685">
        <v>12.834340994549489</v>
      </c>
      <c r="G80" s="685">
        <v>11.312134458893041</v>
      </c>
      <c r="H80" s="685">
        <v>9.6789129062662411</v>
      </c>
      <c r="I80" s="685">
        <v>6.9020540352335846</v>
      </c>
      <c r="J80" s="685">
        <v>5.0470215065858914</v>
      </c>
      <c r="K80" s="893">
        <v>3.1216862512155199</v>
      </c>
      <c r="L80" s="895">
        <v>61.1797694485374</v>
      </c>
      <c r="M80" s="895">
        <v>76.250531241572403</v>
      </c>
      <c r="O80" s="66"/>
    </row>
    <row r="81" spans="2:15" s="31" customFormat="1">
      <c r="B81" s="827"/>
      <c r="C81" s="66"/>
      <c r="D81" s="828"/>
      <c r="E81" s="828"/>
      <c r="F81" s="828"/>
      <c r="G81" s="828"/>
      <c r="H81" s="828"/>
      <c r="I81" s="828"/>
      <c r="J81" s="828"/>
      <c r="K81" s="828"/>
      <c r="L81" s="825"/>
      <c r="M81" s="825"/>
      <c r="O81" s="66"/>
    </row>
    <row r="82" spans="2:15" s="31" customFormat="1">
      <c r="B82" s="827"/>
      <c r="C82" s="66"/>
      <c r="D82" s="828"/>
      <c r="E82" s="829"/>
      <c r="F82" s="829"/>
      <c r="G82" s="829"/>
      <c r="H82" s="829"/>
      <c r="I82" s="829"/>
      <c r="J82" s="829"/>
      <c r="K82" s="829"/>
      <c r="L82" s="825"/>
      <c r="M82" s="825"/>
      <c r="O82" s="66"/>
    </row>
    <row r="83" spans="2:15">
      <c r="B83" s="831" t="s">
        <v>431</v>
      </c>
      <c r="C83" s="823"/>
      <c r="D83" s="823"/>
      <c r="E83" s="823"/>
      <c r="F83" s="823"/>
      <c r="G83" s="823"/>
      <c r="H83" s="823"/>
      <c r="I83" s="823"/>
      <c r="J83" s="823"/>
      <c r="K83" s="823"/>
      <c r="L83" s="823"/>
      <c r="M83" s="823"/>
      <c r="N83" s="823"/>
    </row>
    <row r="84" spans="2:15">
      <c r="B84" s="368"/>
      <c r="C84" s="154"/>
      <c r="D84" s="154"/>
      <c r="E84" s="154"/>
      <c r="F84" s="154"/>
      <c r="G84" s="154"/>
      <c r="H84" s="154"/>
      <c r="I84" s="154"/>
      <c r="J84" s="154"/>
      <c r="K84" s="154"/>
      <c r="L84" s="154"/>
      <c r="M84" s="154"/>
      <c r="N84" s="154"/>
    </row>
    <row r="85" spans="2:15">
      <c r="B85" s="848" t="s">
        <v>485</v>
      </c>
      <c r="C85" s="154"/>
      <c r="D85" s="154"/>
      <c r="E85" s="154"/>
      <c r="F85" s="154"/>
      <c r="G85" s="154"/>
      <c r="H85" s="154"/>
      <c r="I85" s="154"/>
      <c r="J85" s="154"/>
      <c r="K85" s="154"/>
      <c r="L85" s="154"/>
      <c r="M85" s="154"/>
      <c r="N85" s="154"/>
    </row>
    <row r="86" spans="2:15">
      <c r="B86" s="212" t="s">
        <v>486</v>
      </c>
      <c r="C86" s="154" t="s">
        <v>159</v>
      </c>
      <c r="D86" s="144">
        <v>-14.44198609941926</v>
      </c>
      <c r="E86" s="144">
        <v>-7.8895957637521308</v>
      </c>
      <c r="F86" s="144">
        <v>-0.18120708744708361</v>
      </c>
      <c r="G86" s="144">
        <v>-4.1832883397551823</v>
      </c>
      <c r="H86" s="144">
        <v>-8.4351503572854067</v>
      </c>
      <c r="I86" s="144">
        <v>-16.037252620910564</v>
      </c>
      <c r="J86" s="144">
        <v>-7.2651750850085035</v>
      </c>
      <c r="K86" s="144">
        <v>-6.3810890006573731</v>
      </c>
      <c r="L86" s="686">
        <v>-35.131227647659067</v>
      </c>
      <c r="M86" s="687">
        <v>-64.814744354235501</v>
      </c>
    </row>
    <row r="87" spans="2:15">
      <c r="B87" s="212"/>
    </row>
    <row r="88" spans="2:15">
      <c r="B88" s="212" t="s">
        <v>487</v>
      </c>
      <c r="C88" s="154" t="s">
        <v>159</v>
      </c>
      <c r="D88" s="144">
        <v>-15.179910122690131</v>
      </c>
      <c r="E88" s="144">
        <v>-8.6711014350156344</v>
      </c>
      <c r="F88" s="144">
        <v>-1.150491744619512</v>
      </c>
      <c r="G88" s="144">
        <v>-5.5709338799374626</v>
      </c>
      <c r="H88" s="144">
        <v>-10.618002624021555</v>
      </c>
      <c r="I88" s="144">
        <v>-18.268283876765128</v>
      </c>
      <c r="J88" s="144">
        <v>-8.2114098674811142</v>
      </c>
      <c r="K88" s="144">
        <v>-7.603338168515517</v>
      </c>
      <c r="L88" s="686">
        <v>-41.190439806284296</v>
      </c>
      <c r="M88" s="687">
        <v>-75.273471719046057</v>
      </c>
    </row>
    <row r="89" spans="2:15">
      <c r="B89" s="212"/>
    </row>
    <row r="90" spans="2:15">
      <c r="B90" s="212" t="s">
        <v>488</v>
      </c>
      <c r="C90" s="154" t="s">
        <v>159</v>
      </c>
      <c r="D90" s="144">
        <v>0.73792402327087103</v>
      </c>
      <c r="E90" s="144">
        <v>0.78150567126350357</v>
      </c>
      <c r="F90" s="144">
        <v>0.9692846571724284</v>
      </c>
      <c r="G90" s="144">
        <v>1.3876455401822803</v>
      </c>
      <c r="H90" s="144">
        <v>2.1828522667361483</v>
      </c>
      <c r="I90" s="144">
        <v>2.231031255854564</v>
      </c>
      <c r="J90" s="144">
        <v>0.94623478247261072</v>
      </c>
      <c r="K90" s="144">
        <v>1.222249167858144</v>
      </c>
      <c r="L90" s="686">
        <v>6.0592121586252317</v>
      </c>
      <c r="M90" s="687">
        <v>10.458727364810553</v>
      </c>
    </row>
    <row r="91" spans="2:15">
      <c r="B91" s="199"/>
    </row>
  </sheetData>
  <conditionalFormatting sqref="D6:K6">
    <cfRule type="expression" dxfId="48" priority="22">
      <formula>AND(D$5="Actuals",E$5="Forecast")</formula>
    </cfRule>
  </conditionalFormatting>
  <conditionalFormatting sqref="D5:K5">
    <cfRule type="expression" dxfId="47" priority="15">
      <formula>AND(D$5="Actuals",E$5="Forecast")</formula>
    </cfRule>
  </conditionalFormatting>
  <conditionalFormatting sqref="D29:G29 I29:K29">
    <cfRule type="expression" dxfId="46" priority="13">
      <formula>D$5="Forecast"</formula>
    </cfRule>
    <cfRule type="expression" dxfId="45" priority="14">
      <formula>D$5="Actuals"</formula>
    </cfRule>
  </conditionalFormatting>
  <conditionalFormatting sqref="D47:G47">
    <cfRule type="expression" dxfId="44" priority="7">
      <formula>D$5="Forecast"</formula>
    </cfRule>
    <cfRule type="expression" dxfId="43" priority="8">
      <formula>D$5="Actuals"</formula>
    </cfRule>
  </conditionalFormatting>
  <conditionalFormatting sqref="I47:K47">
    <cfRule type="expression" dxfId="42" priority="5">
      <formula>I$5="Forecast"</formula>
    </cfRule>
    <cfRule type="expression" dxfId="41" priority="6">
      <formula>I$5="Actuals"</formula>
    </cfRule>
  </conditionalFormatting>
  <conditionalFormatting sqref="H47">
    <cfRule type="expression" dxfId="40" priority="3">
      <formula>H$5="Forecast"</formula>
    </cfRule>
    <cfRule type="expression" dxfId="39" priority="4">
      <formula>H$5="Actuals"</formula>
    </cfRule>
  </conditionalFormatting>
  <conditionalFormatting sqref="H29">
    <cfRule type="expression" dxfId="38" priority="1">
      <formula>H$5="Forecast"</formula>
    </cfRule>
    <cfRule type="expression" dxfId="37"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70" zoomScaleNormal="70" workbookViewId="0">
      <pane ySplit="6" topLeftCell="A7" activePane="bottomLeft" state="frozen"/>
      <selection activeCell="B3" sqref="B3"/>
      <selection pane="bottomLeft" activeCell="H6" sqref="H6"/>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1" t="s">
        <v>237</v>
      </c>
      <c r="B1" s="911"/>
      <c r="C1" s="255"/>
      <c r="D1" s="255"/>
      <c r="E1" s="255"/>
      <c r="F1" s="255"/>
      <c r="G1" s="255"/>
      <c r="H1" s="255"/>
      <c r="I1" s="256"/>
      <c r="J1" s="256"/>
      <c r="K1" s="257"/>
      <c r="L1" s="360"/>
    </row>
    <row r="2" spans="1:12" s="31" customFormat="1" ht="21">
      <c r="A2" s="904" t="str">
        <f>'RFPR cover'!C5</f>
        <v>WPD-SWALES</v>
      </c>
      <c r="B2" s="896"/>
      <c r="C2" s="29"/>
      <c r="D2" s="29"/>
      <c r="E2" s="29"/>
      <c r="F2" s="29"/>
      <c r="G2" s="29"/>
      <c r="H2" s="29"/>
      <c r="I2" s="27"/>
      <c r="J2" s="27"/>
      <c r="K2" s="27"/>
      <c r="L2" s="122"/>
    </row>
    <row r="3" spans="1:12" s="31" customFormat="1" ht="22.8">
      <c r="A3" s="907">
        <f>'RFPR cover'!C7</f>
        <v>2020</v>
      </c>
      <c r="B3" s="913" t="str">
        <f>'R1 - RoRE'!B3</f>
        <v/>
      </c>
      <c r="C3" s="259"/>
      <c r="D3" s="259"/>
      <c r="E3" s="259"/>
      <c r="F3" s="259"/>
      <c r="G3" s="259"/>
      <c r="H3" s="259"/>
      <c r="I3" s="254"/>
      <c r="J3" s="254"/>
      <c r="K3" s="254"/>
      <c r="L3" s="260"/>
    </row>
    <row r="4" spans="1:12" s="31" customFormat="1" ht="12.75" customHeight="1">
      <c r="A4" s="39"/>
      <c r="B4" s="39"/>
      <c r="C4" s="39"/>
      <c r="D4" s="39"/>
      <c r="E4" s="39"/>
      <c r="F4" s="39"/>
      <c r="G4" s="39"/>
      <c r="H4" s="39"/>
      <c r="I4" s="34"/>
      <c r="J4" s="34"/>
      <c r="K4" s="34"/>
      <c r="L4" s="33"/>
    </row>
    <row r="5" spans="1:12" s="2" customFormat="1">
      <c r="B5" s="3"/>
      <c r="C5" s="3"/>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row>
    <row r="6" spans="1:12"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row r="8" spans="1:12" s="2" customFormat="1">
      <c r="B8" s="212" t="s">
        <v>519</v>
      </c>
      <c r="C8" s="151" t="s">
        <v>128</v>
      </c>
      <c r="D8" s="875">
        <v>-25.849311740000001</v>
      </c>
      <c r="E8" s="694">
        <v>-32.200000000000003</v>
      </c>
      <c r="F8" s="694">
        <v>-19.45701588</v>
      </c>
      <c r="G8" s="694">
        <v>-33.159069620000004</v>
      </c>
      <c r="H8" s="694">
        <v>-4.6033230300000003</v>
      </c>
      <c r="I8" s="694">
        <v>-0.46483783000000001</v>
      </c>
      <c r="J8" s="694">
        <v>-10.666666656666665</v>
      </c>
      <c r="K8" s="694">
        <v>1E-8</v>
      </c>
    </row>
    <row r="9" spans="1:12" s="2" customFormat="1">
      <c r="B9" s="212"/>
    </row>
    <row r="10" spans="1:12">
      <c r="B10" s="212" t="s">
        <v>520</v>
      </c>
      <c r="C10" s="151" t="s">
        <v>128</v>
      </c>
      <c r="D10" s="688">
        <v>-32.200000000000003</v>
      </c>
      <c r="E10" s="689">
        <v>-19.45701588</v>
      </c>
      <c r="F10" s="689">
        <v>-33.159069620000004</v>
      </c>
      <c r="G10" s="689">
        <v>-4.6033230300000003</v>
      </c>
      <c r="H10" s="689">
        <v>-0.46483783000000001</v>
      </c>
      <c r="I10" s="689">
        <v>-10.666666656666665</v>
      </c>
      <c r="J10" s="689">
        <v>1E-8</v>
      </c>
      <c r="K10" s="690">
        <v>1E-8</v>
      </c>
    </row>
    <row r="11" spans="1:12">
      <c r="B11" s="212" t="s">
        <v>368</v>
      </c>
      <c r="C11" s="151" t="s">
        <v>128</v>
      </c>
      <c r="D11" s="691">
        <v>566.72789999999998</v>
      </c>
      <c r="E11" s="692">
        <v>619.78910460000009</v>
      </c>
      <c r="F11" s="692">
        <v>653.2063776</v>
      </c>
      <c r="G11" s="692">
        <v>655.20138665000002</v>
      </c>
      <c r="H11" s="692">
        <v>657.61491336000006</v>
      </c>
      <c r="I11" s="692">
        <v>509.45489570030105</v>
      </c>
      <c r="J11" s="692">
        <v>511.70786314010206</v>
      </c>
      <c r="K11" s="693">
        <v>514.28568370226901</v>
      </c>
    </row>
    <row r="12" spans="1:12">
      <c r="B12" s="212" t="s">
        <v>369</v>
      </c>
      <c r="C12" s="151" t="s">
        <v>128</v>
      </c>
      <c r="D12" s="691">
        <v>57.5</v>
      </c>
      <c r="E12" s="692">
        <v>0</v>
      </c>
      <c r="F12" s="692">
        <v>0</v>
      </c>
      <c r="G12" s="692">
        <v>0</v>
      </c>
      <c r="H12" s="692">
        <v>0</v>
      </c>
      <c r="I12" s="692">
        <v>0</v>
      </c>
      <c r="J12" s="692">
        <v>0</v>
      </c>
      <c r="K12" s="693">
        <v>0</v>
      </c>
    </row>
    <row r="13" spans="1:12">
      <c r="B13" s="212" t="s">
        <v>370</v>
      </c>
      <c r="C13" s="151" t="s">
        <v>128</v>
      </c>
      <c r="D13" s="691">
        <v>0</v>
      </c>
      <c r="E13" s="692">
        <v>0</v>
      </c>
      <c r="F13" s="692">
        <v>0</v>
      </c>
      <c r="G13" s="692">
        <v>0</v>
      </c>
      <c r="H13" s="692">
        <v>0</v>
      </c>
      <c r="I13" s="692">
        <v>0</v>
      </c>
      <c r="J13" s="692">
        <v>0</v>
      </c>
      <c r="K13" s="693">
        <v>0</v>
      </c>
    </row>
    <row r="14" spans="1:12">
      <c r="B14" s="212" t="s">
        <v>371</v>
      </c>
      <c r="C14" s="151" t="s">
        <v>128</v>
      </c>
      <c r="D14" s="691">
        <v>-3.1354999999999973</v>
      </c>
      <c r="E14" s="692">
        <v>-16.786109879999998</v>
      </c>
      <c r="F14" s="692">
        <v>-8.1006748700000006</v>
      </c>
      <c r="G14" s="692">
        <v>-5.8129591400000002</v>
      </c>
      <c r="H14" s="692">
        <v>1.3225</v>
      </c>
      <c r="I14" s="692">
        <v>1.3225</v>
      </c>
      <c r="J14" s="692">
        <v>1.3225</v>
      </c>
      <c r="K14" s="693">
        <v>1.3225</v>
      </c>
    </row>
    <row r="15" spans="1:12">
      <c r="B15" s="212" t="s">
        <v>293</v>
      </c>
      <c r="C15" s="151" t="s">
        <v>128</v>
      </c>
      <c r="D15" s="691">
        <v>0</v>
      </c>
      <c r="E15" s="692">
        <v>0</v>
      </c>
      <c r="F15" s="692">
        <v>0</v>
      </c>
      <c r="G15" s="692">
        <v>0</v>
      </c>
      <c r="H15" s="692">
        <v>0</v>
      </c>
      <c r="I15" s="692">
        <v>0</v>
      </c>
      <c r="J15" s="692">
        <v>0</v>
      </c>
      <c r="K15" s="693">
        <v>0</v>
      </c>
    </row>
    <row r="16" spans="1:12">
      <c r="B16" s="212" t="s">
        <v>294</v>
      </c>
      <c r="C16" s="151" t="s">
        <v>128</v>
      </c>
      <c r="D16" s="691">
        <v>0</v>
      </c>
      <c r="E16" s="692">
        <v>0</v>
      </c>
      <c r="F16" s="692">
        <v>0</v>
      </c>
      <c r="G16" s="692">
        <v>0</v>
      </c>
      <c r="H16" s="692">
        <v>0</v>
      </c>
      <c r="I16" s="692">
        <v>0</v>
      </c>
      <c r="J16" s="692">
        <v>0</v>
      </c>
      <c r="K16" s="693">
        <v>0</v>
      </c>
    </row>
    <row r="17" spans="2:13">
      <c r="B17" s="212" t="s">
        <v>298</v>
      </c>
      <c r="C17" s="151" t="s">
        <v>128</v>
      </c>
      <c r="D17" s="691">
        <v>0</v>
      </c>
      <c r="E17" s="692">
        <v>0</v>
      </c>
      <c r="F17" s="692">
        <v>0</v>
      </c>
      <c r="G17" s="692">
        <v>0</v>
      </c>
      <c r="H17" s="692">
        <v>4.5366950200000007</v>
      </c>
      <c r="I17" s="692">
        <v>0</v>
      </c>
      <c r="J17" s="692">
        <v>0</v>
      </c>
      <c r="K17" s="693">
        <v>0</v>
      </c>
    </row>
    <row r="18" spans="2:13">
      <c r="B18" s="212" t="s">
        <v>299</v>
      </c>
      <c r="C18" s="151" t="s">
        <v>128</v>
      </c>
      <c r="D18" s="691">
        <v>0</v>
      </c>
      <c r="E18" s="692">
        <v>0</v>
      </c>
      <c r="F18" s="692">
        <v>0</v>
      </c>
      <c r="G18" s="692">
        <v>0</v>
      </c>
      <c r="H18" s="692">
        <v>0</v>
      </c>
      <c r="I18" s="692">
        <v>0</v>
      </c>
      <c r="J18" s="692">
        <v>0</v>
      </c>
      <c r="K18" s="693">
        <v>0</v>
      </c>
    </row>
    <row r="19" spans="2:13">
      <c r="B19" s="212" t="s">
        <v>300</v>
      </c>
      <c r="C19" s="151" t="s">
        <v>128</v>
      </c>
      <c r="D19" s="691">
        <v>0</v>
      </c>
      <c r="E19" s="692">
        <v>0</v>
      </c>
      <c r="F19" s="692">
        <v>0</v>
      </c>
      <c r="G19" s="692">
        <v>0</v>
      </c>
      <c r="H19" s="692">
        <v>0</v>
      </c>
      <c r="I19" s="692">
        <v>0</v>
      </c>
      <c r="J19" s="692">
        <v>0</v>
      </c>
      <c r="K19" s="693">
        <v>0</v>
      </c>
    </row>
    <row r="20" spans="2:13">
      <c r="B20" s="212" t="s">
        <v>301</v>
      </c>
      <c r="C20" s="151" t="s">
        <v>128</v>
      </c>
      <c r="D20" s="691">
        <v>0</v>
      </c>
      <c r="E20" s="692">
        <v>0</v>
      </c>
      <c r="F20" s="692">
        <v>0</v>
      </c>
      <c r="G20" s="692">
        <v>0</v>
      </c>
      <c r="H20" s="692">
        <v>0</v>
      </c>
      <c r="I20" s="692">
        <v>0</v>
      </c>
      <c r="J20" s="692">
        <v>0</v>
      </c>
      <c r="K20" s="693">
        <v>0</v>
      </c>
    </row>
    <row r="21" spans="2:13">
      <c r="B21" s="212" t="s">
        <v>302</v>
      </c>
      <c r="C21" s="151" t="s">
        <v>128</v>
      </c>
      <c r="D21" s="691">
        <v>0</v>
      </c>
      <c r="E21" s="692">
        <v>0</v>
      </c>
      <c r="F21" s="692">
        <v>0</v>
      </c>
      <c r="G21" s="692">
        <v>0</v>
      </c>
      <c r="H21" s="692">
        <v>0</v>
      </c>
      <c r="I21" s="692">
        <v>0</v>
      </c>
      <c r="J21" s="692">
        <v>0</v>
      </c>
      <c r="K21" s="693">
        <v>0</v>
      </c>
    </row>
    <row r="22" spans="2:13">
      <c r="B22" s="212" t="s">
        <v>303</v>
      </c>
      <c r="C22" s="151" t="s">
        <v>128</v>
      </c>
      <c r="D22" s="691">
        <v>0</v>
      </c>
      <c r="E22" s="692">
        <v>0</v>
      </c>
      <c r="F22" s="692">
        <v>0</v>
      </c>
      <c r="G22" s="692">
        <v>0</v>
      </c>
      <c r="H22" s="692">
        <v>0</v>
      </c>
      <c r="I22" s="692">
        <v>0</v>
      </c>
      <c r="J22" s="692">
        <v>0</v>
      </c>
      <c r="K22" s="693">
        <v>0</v>
      </c>
    </row>
    <row r="23" spans="2:13">
      <c r="B23" s="14" t="s">
        <v>319</v>
      </c>
      <c r="C23" s="234" t="s">
        <v>128</v>
      </c>
      <c r="D23" s="694">
        <v>588.89239999999995</v>
      </c>
      <c r="E23" s="694">
        <v>583.54597884000009</v>
      </c>
      <c r="F23" s="694">
        <v>611.94663310999999</v>
      </c>
      <c r="G23" s="694">
        <v>644.78510448000009</v>
      </c>
      <c r="H23" s="694">
        <v>663.00927055000011</v>
      </c>
      <c r="I23" s="694">
        <v>500.11072904363436</v>
      </c>
      <c r="J23" s="694">
        <v>513.03036315010206</v>
      </c>
      <c r="K23" s="695">
        <v>515.60818371226901</v>
      </c>
      <c r="L23" s="2"/>
      <c r="M23" s="321"/>
    </row>
    <row r="24" spans="2:13">
      <c r="B24" s="14"/>
      <c r="C24" s="151"/>
      <c r="D24" s="238"/>
      <c r="E24" s="238"/>
      <c r="F24" s="238"/>
      <c r="G24" s="238"/>
      <c r="H24" s="238"/>
      <c r="I24" s="238"/>
      <c r="J24" s="238"/>
      <c r="K24" s="238"/>
      <c r="L24" s="2"/>
      <c r="M24" s="2"/>
    </row>
    <row r="25" spans="2:13">
      <c r="B25" s="14" t="s">
        <v>123</v>
      </c>
      <c r="C25" s="16"/>
      <c r="D25" s="239"/>
      <c r="E25" s="239"/>
      <c r="F25" s="239"/>
      <c r="G25" s="239"/>
      <c r="H25" s="239"/>
      <c r="I25" s="239"/>
      <c r="J25" s="239"/>
      <c r="K25" s="239"/>
      <c r="L25" s="2"/>
      <c r="M25" s="2"/>
    </row>
    <row r="26" spans="2:13">
      <c r="B26" s="366" t="s">
        <v>531</v>
      </c>
      <c r="C26" s="151" t="s">
        <v>128</v>
      </c>
      <c r="D26" s="344">
        <v>6.7392560799999996</v>
      </c>
      <c r="E26" s="344">
        <v>6.5719434000000003</v>
      </c>
      <c r="F26" s="344">
        <v>6.4523000000000001</v>
      </c>
      <c r="G26" s="344">
        <v>5.9998303499999999</v>
      </c>
      <c r="H26" s="344">
        <v>5.5795676399999996</v>
      </c>
      <c r="I26" s="344">
        <v>5.2021106802812058</v>
      </c>
      <c r="J26" s="344">
        <v>4.8850899705624116</v>
      </c>
      <c r="K26" s="344">
        <v>4.5680692608436182</v>
      </c>
      <c r="L26" s="2"/>
      <c r="M26" s="2"/>
    </row>
    <row r="27" spans="2:13">
      <c r="B27" s="366" t="s">
        <v>8</v>
      </c>
      <c r="C27" s="151" t="s">
        <v>128</v>
      </c>
      <c r="D27" s="344">
        <v>0</v>
      </c>
      <c r="E27" s="376">
        <v>0</v>
      </c>
      <c r="F27" s="376">
        <v>0</v>
      </c>
      <c r="G27" s="376">
        <v>0</v>
      </c>
      <c r="H27" s="376">
        <v>0</v>
      </c>
      <c r="I27" s="376">
        <v>0</v>
      </c>
      <c r="J27" s="376">
        <v>0</v>
      </c>
      <c r="K27" s="380">
        <v>0</v>
      </c>
      <c r="L27" s="35"/>
      <c r="M27" s="35"/>
    </row>
    <row r="28" spans="2:13">
      <c r="B28" s="366" t="s">
        <v>9</v>
      </c>
      <c r="C28" s="151" t="s">
        <v>128</v>
      </c>
      <c r="D28" s="344">
        <v>0</v>
      </c>
      <c r="E28" s="376">
        <v>0</v>
      </c>
      <c r="F28" s="376">
        <v>0</v>
      </c>
      <c r="G28" s="376">
        <v>0</v>
      </c>
      <c r="H28" s="376">
        <v>0</v>
      </c>
      <c r="I28" s="376">
        <v>0</v>
      </c>
      <c r="J28" s="376">
        <v>0</v>
      </c>
      <c r="K28" s="380">
        <v>0</v>
      </c>
      <c r="L28" s="35"/>
      <c r="M28" s="35"/>
    </row>
    <row r="29" spans="2:13">
      <c r="B29" s="366" t="s">
        <v>10</v>
      </c>
      <c r="C29" s="151" t="s">
        <v>128</v>
      </c>
      <c r="D29" s="344">
        <v>0</v>
      </c>
      <c r="E29" s="376">
        <v>0</v>
      </c>
      <c r="F29" s="376">
        <v>0</v>
      </c>
      <c r="G29" s="376">
        <v>0</v>
      </c>
      <c r="H29" s="376">
        <v>0</v>
      </c>
      <c r="I29" s="376">
        <v>0</v>
      </c>
      <c r="J29" s="376">
        <v>0</v>
      </c>
      <c r="K29" s="380">
        <v>0</v>
      </c>
      <c r="L29" s="35"/>
      <c r="M29" s="35"/>
    </row>
    <row r="30" spans="2:13">
      <c r="B30" s="366" t="s">
        <v>611</v>
      </c>
      <c r="C30" s="151" t="s">
        <v>128</v>
      </c>
      <c r="D30" s="344">
        <v>1.532816</v>
      </c>
      <c r="E30" s="376">
        <v>-1.5355479999999999</v>
      </c>
      <c r="F30" s="376">
        <v>-2.6335999999999999</v>
      </c>
      <c r="G30" s="376">
        <v>-2.3757519999999999</v>
      </c>
      <c r="H30" s="376">
        <v>-2.1178720000000002</v>
      </c>
      <c r="I30" s="376">
        <v>-1.8588652005822248</v>
      </c>
      <c r="J30" s="376">
        <v>-1.5998584011644499</v>
      </c>
      <c r="K30" s="380">
        <v>-1.3408516017466745</v>
      </c>
    </row>
    <row r="31" spans="2:13">
      <c r="B31" s="366" t="s">
        <v>612</v>
      </c>
      <c r="C31" s="151" t="s">
        <v>128</v>
      </c>
      <c r="D31" s="344">
        <v>3.1354999999999973</v>
      </c>
      <c r="E31" s="376">
        <v>16.786109879999998</v>
      </c>
      <c r="F31" s="376">
        <v>8.1006999999999998</v>
      </c>
      <c r="G31" s="376">
        <v>6.5910091399999997</v>
      </c>
      <c r="H31" s="376">
        <v>-1.3224654100000002</v>
      </c>
      <c r="I31" s="376">
        <v>-1.3225</v>
      </c>
      <c r="J31" s="376">
        <v>-1.3225</v>
      </c>
      <c r="K31" s="380">
        <v>-1.3225</v>
      </c>
    </row>
    <row r="32" spans="2:13" ht="12.75" customHeight="1">
      <c r="B32" s="366" t="s">
        <v>613</v>
      </c>
      <c r="C32" s="151" t="s">
        <v>128</v>
      </c>
      <c r="D32" s="344">
        <v>1.8409100000000001E-3</v>
      </c>
      <c r="E32" s="376">
        <v>0</v>
      </c>
      <c r="F32" s="376">
        <v>0</v>
      </c>
      <c r="G32" s="376">
        <v>0</v>
      </c>
      <c r="H32" s="376">
        <v>0</v>
      </c>
      <c r="I32" s="376">
        <v>-1E-8</v>
      </c>
      <c r="J32" s="376">
        <v>-1E-8</v>
      </c>
      <c r="K32" s="380">
        <v>-1E-8</v>
      </c>
    </row>
    <row r="33" spans="2:12">
      <c r="B33" s="366" t="s">
        <v>614</v>
      </c>
      <c r="C33" s="151" t="s">
        <v>128</v>
      </c>
      <c r="D33" s="344">
        <v>0</v>
      </c>
      <c r="E33" s="376">
        <v>0</v>
      </c>
      <c r="F33" s="376">
        <v>0</v>
      </c>
      <c r="G33" s="376">
        <v>0</v>
      </c>
      <c r="H33" s="376">
        <v>-4.5366</v>
      </c>
      <c r="I33" s="376">
        <v>0</v>
      </c>
      <c r="J33" s="376">
        <v>0</v>
      </c>
      <c r="K33" s="380">
        <v>0</v>
      </c>
    </row>
    <row r="34" spans="2:12">
      <c r="B34" s="366" t="s">
        <v>356</v>
      </c>
      <c r="C34" s="151" t="s">
        <v>128</v>
      </c>
      <c r="D34" s="344">
        <v>0</v>
      </c>
      <c r="E34" s="376">
        <v>0</v>
      </c>
      <c r="F34" s="376">
        <v>0</v>
      </c>
      <c r="G34" s="376">
        <v>0</v>
      </c>
      <c r="H34" s="376">
        <v>0</v>
      </c>
      <c r="I34" s="376">
        <v>0</v>
      </c>
      <c r="J34" s="376">
        <v>0</v>
      </c>
      <c r="K34" s="380">
        <v>0</v>
      </c>
    </row>
    <row r="35" spans="2:12">
      <c r="B35" s="366" t="s">
        <v>357</v>
      </c>
      <c r="C35" s="151" t="s">
        <v>128</v>
      </c>
      <c r="D35" s="344">
        <v>0</v>
      </c>
      <c r="E35" s="376">
        <v>0</v>
      </c>
      <c r="F35" s="376">
        <v>0</v>
      </c>
      <c r="G35" s="376">
        <v>0</v>
      </c>
      <c r="H35" s="376">
        <v>0</v>
      </c>
      <c r="I35" s="376">
        <v>0</v>
      </c>
      <c r="J35" s="376">
        <v>0</v>
      </c>
      <c r="K35" s="380">
        <v>0</v>
      </c>
    </row>
    <row r="36" spans="2:12">
      <c r="B36" s="366" t="s">
        <v>358</v>
      </c>
      <c r="C36" s="151" t="s">
        <v>128</v>
      </c>
      <c r="D36" s="344">
        <v>0</v>
      </c>
      <c r="E36" s="376">
        <v>0</v>
      </c>
      <c r="F36" s="376">
        <v>0</v>
      </c>
      <c r="G36" s="376">
        <v>0</v>
      </c>
      <c r="H36" s="376">
        <v>0</v>
      </c>
      <c r="I36" s="376">
        <v>0</v>
      </c>
      <c r="J36" s="376">
        <v>0</v>
      </c>
      <c r="K36" s="380">
        <v>0</v>
      </c>
    </row>
    <row r="37" spans="2:12">
      <c r="B37" s="366" t="s">
        <v>359</v>
      </c>
      <c r="C37" s="151" t="s">
        <v>128</v>
      </c>
      <c r="D37" s="344">
        <v>0</v>
      </c>
      <c r="E37" s="376">
        <v>0</v>
      </c>
      <c r="F37" s="376">
        <v>0</v>
      </c>
      <c r="G37" s="376">
        <v>0</v>
      </c>
      <c r="H37" s="376">
        <v>0</v>
      </c>
      <c r="I37" s="376">
        <v>0</v>
      </c>
      <c r="J37" s="376">
        <v>0</v>
      </c>
      <c r="K37" s="380">
        <v>0</v>
      </c>
    </row>
    <row r="38" spans="2:12">
      <c r="B38" s="366" t="s">
        <v>360</v>
      </c>
      <c r="C38" s="151" t="s">
        <v>128</v>
      </c>
      <c r="D38" s="344">
        <v>0</v>
      </c>
      <c r="E38" s="376">
        <v>0</v>
      </c>
      <c r="F38" s="376">
        <v>0</v>
      </c>
      <c r="G38" s="376">
        <v>0</v>
      </c>
      <c r="H38" s="376">
        <v>0</v>
      </c>
      <c r="I38" s="376">
        <v>0</v>
      </c>
      <c r="J38" s="376">
        <v>0</v>
      </c>
      <c r="K38" s="380">
        <v>0</v>
      </c>
    </row>
    <row r="39" spans="2:12">
      <c r="B39" s="366" t="s">
        <v>361</v>
      </c>
      <c r="C39" s="151" t="s">
        <v>128</v>
      </c>
      <c r="D39" s="344">
        <v>0</v>
      </c>
      <c r="E39" s="376">
        <v>0</v>
      </c>
      <c r="F39" s="376">
        <v>0</v>
      </c>
      <c r="G39" s="376">
        <v>0</v>
      </c>
      <c r="H39" s="376">
        <v>0</v>
      </c>
      <c r="I39" s="376">
        <v>0</v>
      </c>
      <c r="J39" s="376">
        <v>0</v>
      </c>
      <c r="K39" s="380">
        <v>0</v>
      </c>
    </row>
    <row r="40" spans="2:12">
      <c r="B40" s="366" t="s">
        <v>362</v>
      </c>
      <c r="C40" s="151" t="s">
        <v>128</v>
      </c>
      <c r="D40" s="344">
        <v>0</v>
      </c>
      <c r="E40" s="376">
        <v>0</v>
      </c>
      <c r="F40" s="376">
        <v>0</v>
      </c>
      <c r="G40" s="376">
        <v>0</v>
      </c>
      <c r="H40" s="376">
        <v>0</v>
      </c>
      <c r="I40" s="376">
        <v>0</v>
      </c>
      <c r="J40" s="376">
        <v>0</v>
      </c>
      <c r="K40" s="380">
        <v>0</v>
      </c>
    </row>
    <row r="41" spans="2:12">
      <c r="B41" s="366" t="s">
        <v>363</v>
      </c>
      <c r="C41" s="151" t="s">
        <v>128</v>
      </c>
      <c r="D41" s="377">
        <v>0</v>
      </c>
      <c r="E41" s="378">
        <v>0</v>
      </c>
      <c r="F41" s="378">
        <v>0</v>
      </c>
      <c r="G41" s="378">
        <v>0</v>
      </c>
      <c r="H41" s="378">
        <v>0</v>
      </c>
      <c r="I41" s="378">
        <v>0</v>
      </c>
      <c r="J41" s="378">
        <v>0</v>
      </c>
      <c r="K41" s="381">
        <v>0</v>
      </c>
    </row>
    <row r="42" spans="2:12">
      <c r="B42" s="198" t="s">
        <v>234</v>
      </c>
      <c r="C42" s="151" t="s">
        <v>128</v>
      </c>
      <c r="D42" s="702">
        <v>600.30181299000003</v>
      </c>
      <c r="E42" s="702">
        <v>605.36848412000018</v>
      </c>
      <c r="F42" s="702">
        <v>623.86603310999999</v>
      </c>
      <c r="G42" s="702">
        <v>655.00019197000006</v>
      </c>
      <c r="H42" s="702">
        <v>660.61190078000016</v>
      </c>
      <c r="I42" s="702">
        <v>502.13147451333333</v>
      </c>
      <c r="J42" s="702">
        <v>514.99309470950004</v>
      </c>
      <c r="K42" s="702">
        <v>517.51290136136595</v>
      </c>
    </row>
    <row r="43" spans="2:12">
      <c r="B43" s="367" t="s">
        <v>306</v>
      </c>
      <c r="C43" s="151" t="s">
        <v>128</v>
      </c>
      <c r="D43" s="703"/>
      <c r="E43" s="704"/>
      <c r="F43" s="704"/>
      <c r="G43" s="705"/>
      <c r="H43" s="705"/>
      <c r="I43" s="705">
        <v>250</v>
      </c>
      <c r="J43" s="705">
        <v>250</v>
      </c>
      <c r="K43" s="706">
        <v>250</v>
      </c>
    </row>
    <row r="44" spans="2:12">
      <c r="B44" s="343" t="s">
        <v>435</v>
      </c>
      <c r="C44" s="151" t="s">
        <v>128</v>
      </c>
      <c r="D44" s="94">
        <v>600.30181299000003</v>
      </c>
      <c r="E44" s="95">
        <v>605.36848412000018</v>
      </c>
      <c r="F44" s="95">
        <v>623.86603310999999</v>
      </c>
      <c r="G44" s="95">
        <v>655.00019197000006</v>
      </c>
      <c r="H44" s="95">
        <v>660.61190078000016</v>
      </c>
      <c r="I44" s="95">
        <v>752.13147451333339</v>
      </c>
      <c r="J44" s="95">
        <v>764.99309470950004</v>
      </c>
      <c r="K44" s="96">
        <v>767.51290136136595</v>
      </c>
    </row>
    <row r="45" spans="2:12">
      <c r="D45" s="225" t="s">
        <v>664</v>
      </c>
      <c r="E45" s="226" t="s">
        <v>664</v>
      </c>
      <c r="F45" s="226" t="s">
        <v>664</v>
      </c>
      <c r="G45" s="226" t="s">
        <v>664</v>
      </c>
      <c r="H45" s="226" t="s">
        <v>664</v>
      </c>
      <c r="I45" s="226" t="s">
        <v>664</v>
      </c>
      <c r="J45" s="226" t="s">
        <v>664</v>
      </c>
      <c r="K45" s="227" t="s">
        <v>664</v>
      </c>
    </row>
    <row r="47" spans="2:12">
      <c r="B47" s="818" t="s">
        <v>436</v>
      </c>
      <c r="C47" s="151" t="s">
        <v>128</v>
      </c>
      <c r="D47" s="833">
        <v>549.15068825999992</v>
      </c>
      <c r="E47" s="95">
        <v>600.30181299000003</v>
      </c>
      <c r="F47" s="95">
        <v>605.36848412000018</v>
      </c>
      <c r="G47" s="95">
        <v>623.86603310999999</v>
      </c>
      <c r="H47" s="95">
        <v>655.00019197000006</v>
      </c>
      <c r="I47" s="95">
        <v>660.61190078000016</v>
      </c>
      <c r="J47" s="95">
        <v>752.13147451333339</v>
      </c>
      <c r="K47" s="96">
        <v>764.99309470950004</v>
      </c>
      <c r="L47" s="817"/>
    </row>
    <row r="48" spans="2:12">
      <c r="B48" s="818" t="s">
        <v>437</v>
      </c>
      <c r="C48" s="151" t="s">
        <v>128</v>
      </c>
      <c r="D48" s="575">
        <v>600.30181299000003</v>
      </c>
      <c r="E48" s="576">
        <v>605.36848412000018</v>
      </c>
      <c r="F48" s="576">
        <v>623.86603310999999</v>
      </c>
      <c r="G48" s="576">
        <v>655.00019197000006</v>
      </c>
      <c r="H48" s="576">
        <v>660.61190078000016</v>
      </c>
      <c r="I48" s="576">
        <v>752.13147451333339</v>
      </c>
      <c r="J48" s="576">
        <v>764.99309470950004</v>
      </c>
      <c r="K48" s="832">
        <v>767.51290136136595</v>
      </c>
      <c r="L48" s="817"/>
    </row>
    <row r="49" spans="2:13">
      <c r="D49" s="23"/>
      <c r="E49" s="23"/>
      <c r="F49" s="23"/>
      <c r="G49" s="23"/>
      <c r="H49" s="23"/>
      <c r="I49" s="23"/>
      <c r="J49" s="23"/>
      <c r="K49" s="23"/>
    </row>
    <row r="50" spans="2:13">
      <c r="B50" s="14" t="s">
        <v>124</v>
      </c>
    </row>
    <row r="51" spans="2:13">
      <c r="B51" t="s">
        <v>125</v>
      </c>
      <c r="C51" s="477" t="s">
        <v>7</v>
      </c>
      <c r="D51" s="471">
        <v>0</v>
      </c>
      <c r="E51" s="472">
        <v>0</v>
      </c>
      <c r="F51" s="472">
        <v>0</v>
      </c>
      <c r="G51" s="472">
        <v>0</v>
      </c>
      <c r="H51" s="472">
        <v>0</v>
      </c>
      <c r="I51" s="472">
        <v>0</v>
      </c>
      <c r="J51" s="472">
        <v>0</v>
      </c>
      <c r="K51" s="473">
        <v>0</v>
      </c>
    </row>
    <row r="52" spans="2:13">
      <c r="B52" t="s">
        <v>126</v>
      </c>
      <c r="C52" s="477" t="s">
        <v>7</v>
      </c>
      <c r="D52" s="483">
        <v>1</v>
      </c>
      <c r="E52" s="484">
        <v>1</v>
      </c>
      <c r="F52" s="484">
        <v>1</v>
      </c>
      <c r="G52" s="484">
        <v>1</v>
      </c>
      <c r="H52" s="484">
        <v>1</v>
      </c>
      <c r="I52" s="484">
        <v>1</v>
      </c>
      <c r="J52" s="484">
        <v>1</v>
      </c>
      <c r="K52" s="485">
        <v>1</v>
      </c>
    </row>
    <row r="53" spans="2:13">
      <c r="C53" s="817"/>
      <c r="D53" s="817"/>
      <c r="E53" s="817"/>
      <c r="F53" s="817"/>
      <c r="G53" s="817"/>
      <c r="H53" s="817"/>
      <c r="I53" s="817"/>
      <c r="J53" s="817"/>
      <c r="K53" s="817"/>
      <c r="L53" s="817"/>
    </row>
    <row r="54" spans="2:13">
      <c r="B54" s="199" t="s">
        <v>459</v>
      </c>
      <c r="C54" s="265" t="s">
        <v>128</v>
      </c>
      <c r="D54" s="707">
        <v>574.72625062499992</v>
      </c>
      <c r="E54" s="708">
        <v>602.83514855500016</v>
      </c>
      <c r="F54" s="708">
        <v>614.61725861500008</v>
      </c>
      <c r="G54" s="708">
        <v>639.43311254000002</v>
      </c>
      <c r="H54" s="708">
        <v>657.80604637500005</v>
      </c>
      <c r="I54" s="708">
        <v>706.37168764666671</v>
      </c>
      <c r="J54" s="708">
        <v>758.56228461141677</v>
      </c>
      <c r="K54" s="709">
        <v>766.25299803543294</v>
      </c>
    </row>
    <row r="55" spans="2:13">
      <c r="B55" s="199" t="s">
        <v>272</v>
      </c>
      <c r="C55" s="151" t="s">
        <v>128</v>
      </c>
      <c r="D55" s="696">
        <v>332.48024153875144</v>
      </c>
      <c r="E55" s="697">
        <v>358.57917250078253</v>
      </c>
      <c r="F55" s="697">
        <v>401.36520106000398</v>
      </c>
      <c r="G55" s="697">
        <v>432.40627735396708</v>
      </c>
      <c r="H55" s="697">
        <v>476.15639054728467</v>
      </c>
      <c r="I55" s="697">
        <v>486.0467592004818</v>
      </c>
      <c r="J55" s="697">
        <v>498.14604317197814</v>
      </c>
      <c r="K55" s="698">
        <v>564.22182849605338</v>
      </c>
    </row>
    <row r="56" spans="2:13">
      <c r="B56" s="199" t="s">
        <v>507</v>
      </c>
      <c r="C56" s="151" t="s">
        <v>128</v>
      </c>
      <c r="D56" s="868">
        <v>907.20649216375136</v>
      </c>
      <c r="E56" s="868">
        <v>961.41432105578269</v>
      </c>
      <c r="F56" s="868">
        <v>1015.9824596750041</v>
      </c>
      <c r="G56" s="868">
        <v>1071.8393898939671</v>
      </c>
      <c r="H56" s="868">
        <v>1133.9624369222847</v>
      </c>
      <c r="I56" s="868">
        <v>1192.4184468471485</v>
      </c>
      <c r="J56" s="868">
        <v>1256.7083277833949</v>
      </c>
      <c r="K56" s="868">
        <v>1330.4748265314863</v>
      </c>
    </row>
    <row r="57" spans="2:13">
      <c r="B57" s="199" t="s">
        <v>235</v>
      </c>
      <c r="C57" s="151" t="s">
        <v>7</v>
      </c>
      <c r="D57" s="230">
        <v>0.63351205661484777</v>
      </c>
      <c r="E57" s="231">
        <v>0.62702950783278666</v>
      </c>
      <c r="F57" s="231">
        <v>0.60494869056263623</v>
      </c>
      <c r="G57" s="231">
        <v>0.59657549309067348</v>
      </c>
      <c r="H57" s="231">
        <v>0.58009509394364733</v>
      </c>
      <c r="I57" s="231">
        <v>0.59238574303707814</v>
      </c>
      <c r="J57" s="231">
        <v>0.60361045426458082</v>
      </c>
      <c r="K57" s="232">
        <v>0.57592446151952748</v>
      </c>
    </row>
    <row r="58" spans="2:13">
      <c r="B58" s="199" t="s">
        <v>115</v>
      </c>
      <c r="C58" s="151" t="s">
        <v>7</v>
      </c>
      <c r="D58" s="869">
        <v>0.65</v>
      </c>
      <c r="E58" s="870">
        <v>0.65</v>
      </c>
      <c r="F58" s="870">
        <v>0.65</v>
      </c>
      <c r="G58" s="870">
        <v>0.65</v>
      </c>
      <c r="H58" s="870">
        <v>0.65</v>
      </c>
      <c r="I58" s="870">
        <v>0.65</v>
      </c>
      <c r="J58" s="870">
        <v>0.65</v>
      </c>
      <c r="K58" s="871">
        <v>0.65</v>
      </c>
    </row>
    <row r="59" spans="2:13">
      <c r="B59" s="199" t="s">
        <v>236</v>
      </c>
      <c r="C59" s="151" t="s">
        <v>7</v>
      </c>
      <c r="D59" s="235">
        <v>-1.6487943385152248E-2</v>
      </c>
      <c r="E59" s="236">
        <v>-2.2970492167213363E-2</v>
      </c>
      <c r="F59" s="236">
        <v>-4.5051309437363796E-2</v>
      </c>
      <c r="G59" s="236">
        <v>-5.3424506909326541E-2</v>
      </c>
      <c r="H59" s="236">
        <v>-6.9904906056352689E-2</v>
      </c>
      <c r="I59" s="236">
        <v>-5.7614256962921884E-2</v>
      </c>
      <c r="J59" s="236">
        <v>-4.6389545735419202E-2</v>
      </c>
      <c r="K59" s="237">
        <v>-7.4075538480472547E-2</v>
      </c>
    </row>
    <row r="61" spans="2:13">
      <c r="B61" s="199" t="s">
        <v>514</v>
      </c>
      <c r="C61" s="154" t="s">
        <v>159</v>
      </c>
      <c r="D61" s="707">
        <v>531.69457329595514</v>
      </c>
      <c r="E61" s="700">
        <v>544.88337557851082</v>
      </c>
      <c r="F61" s="700">
        <v>538.05390013077442</v>
      </c>
      <c r="G61" s="700">
        <v>543.57971749674709</v>
      </c>
      <c r="H61" s="700">
        <v>546.70787649784768</v>
      </c>
      <c r="I61" s="700">
        <v>577.08940129060136</v>
      </c>
      <c r="J61" s="700">
        <v>608.67831054413955</v>
      </c>
      <c r="K61" s="701">
        <v>601.28945594120762</v>
      </c>
      <c r="M61" s="320"/>
    </row>
    <row r="62" spans="2:13">
      <c r="B62" s="199" t="s">
        <v>512</v>
      </c>
      <c r="C62" s="154" t="s">
        <v>159</v>
      </c>
      <c r="D62" s="663">
        <v>307.58633342750767</v>
      </c>
      <c r="E62" s="664">
        <v>324.10822493132963</v>
      </c>
      <c r="F62" s="664">
        <v>351.36682021222543</v>
      </c>
      <c r="G62" s="664">
        <v>367.58697270808909</v>
      </c>
      <c r="H62" s="664">
        <v>395.73739188250681</v>
      </c>
      <c r="I62" s="664">
        <v>397.08900876353903</v>
      </c>
      <c r="J62" s="664">
        <v>399.71759486762676</v>
      </c>
      <c r="K62" s="665">
        <v>442.75276854558837</v>
      </c>
      <c r="M62" s="320"/>
    </row>
    <row r="63" spans="2:13">
      <c r="B63" s="199" t="s">
        <v>513</v>
      </c>
      <c r="C63" s="154" t="s">
        <v>159</v>
      </c>
      <c r="D63" s="867">
        <v>839.28090672346275</v>
      </c>
      <c r="E63" s="867">
        <v>868.99160050984051</v>
      </c>
      <c r="F63" s="867">
        <v>889.42072034299986</v>
      </c>
      <c r="G63" s="867">
        <v>911.16669020483619</v>
      </c>
      <c r="H63" s="867">
        <v>942.44526838035449</v>
      </c>
      <c r="I63" s="867">
        <v>974.17841005414039</v>
      </c>
      <c r="J63" s="867">
        <v>1008.3959054117663</v>
      </c>
      <c r="K63" s="867">
        <v>1044.0422244867959</v>
      </c>
    </row>
    <row r="64" spans="2:13">
      <c r="B64" s="199" t="s">
        <v>235</v>
      </c>
      <c r="C64" s="151" t="s">
        <v>7</v>
      </c>
      <c r="D64" s="230">
        <v>0.63351205661484777</v>
      </c>
      <c r="E64" s="231">
        <v>0.62702950783278666</v>
      </c>
      <c r="F64" s="231">
        <v>0.60494869056263623</v>
      </c>
      <c r="G64" s="231">
        <v>0.59657549309067348</v>
      </c>
      <c r="H64" s="231">
        <v>0.58009509394364733</v>
      </c>
      <c r="I64" s="231">
        <v>0.59238574303707814</v>
      </c>
      <c r="J64" s="231">
        <v>0.60361045426458082</v>
      </c>
      <c r="K64" s="232">
        <v>0.57592446151952748</v>
      </c>
    </row>
    <row r="65" spans="2:11">
      <c r="B65" s="199" t="s">
        <v>115</v>
      </c>
      <c r="C65" s="151" t="s">
        <v>7</v>
      </c>
      <c r="D65" s="869">
        <v>0.65</v>
      </c>
      <c r="E65" s="870">
        <v>0.65</v>
      </c>
      <c r="F65" s="870">
        <v>0.65</v>
      </c>
      <c r="G65" s="870">
        <v>0.65</v>
      </c>
      <c r="H65" s="870">
        <v>0.65</v>
      </c>
      <c r="I65" s="870">
        <v>0.65</v>
      </c>
      <c r="J65" s="870">
        <v>0.65</v>
      </c>
      <c r="K65" s="871">
        <v>0.65</v>
      </c>
    </row>
    <row r="66" spans="2:11">
      <c r="B66" s="199" t="s">
        <v>236</v>
      </c>
      <c r="C66" s="151" t="s">
        <v>7</v>
      </c>
      <c r="D66" s="235">
        <v>-1.6487943385152248E-2</v>
      </c>
      <c r="E66" s="236">
        <v>-2.2970492167213363E-2</v>
      </c>
      <c r="F66" s="236">
        <v>-4.5051309437363796E-2</v>
      </c>
      <c r="G66" s="236">
        <v>-5.3424506909326541E-2</v>
      </c>
      <c r="H66" s="236">
        <v>-6.9904906056352689E-2</v>
      </c>
      <c r="I66" s="236">
        <v>-5.7614256962921884E-2</v>
      </c>
      <c r="J66" s="236">
        <v>-4.6389545735419202E-2</v>
      </c>
      <c r="K66" s="237">
        <v>-7.4075538480472547E-2</v>
      </c>
    </row>
  </sheetData>
  <conditionalFormatting sqref="D6:K6">
    <cfRule type="expression" dxfId="35" priority="18">
      <formula>AND(D$5="Actuals",E$5="Forecast")</formula>
    </cfRule>
  </conditionalFormatting>
  <conditionalFormatting sqref="D5:K5">
    <cfRule type="expression" dxfId="34"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100.08984375" customWidth="1"/>
    <col min="3" max="3" width="14.08984375" style="197" customWidth="1"/>
    <col min="4" max="11" width="11.08984375" customWidth="1"/>
    <col min="12" max="12" width="5" customWidth="1"/>
    <col min="14" max="14" width="9" style="212"/>
  </cols>
  <sheetData>
    <row r="1" spans="1:14" s="31" customFormat="1" ht="21">
      <c r="A1" s="901" t="s">
        <v>120</v>
      </c>
      <c r="B1" s="930"/>
      <c r="C1" s="394"/>
      <c r="D1" s="119"/>
      <c r="E1" s="119"/>
      <c r="F1" s="119"/>
      <c r="G1" s="119"/>
      <c r="H1" s="119"/>
      <c r="I1" s="125"/>
      <c r="J1" s="125"/>
      <c r="K1" s="126"/>
      <c r="L1" s="360"/>
      <c r="N1" s="211"/>
    </row>
    <row r="2" spans="1:14" s="31" customFormat="1" ht="21">
      <c r="A2" s="904" t="str">
        <f>'RFPR cover'!C5</f>
        <v>WPD-SWALES</v>
      </c>
      <c r="B2" s="896"/>
      <c r="C2" s="220"/>
      <c r="D2" s="29"/>
      <c r="E2" s="29"/>
      <c r="F2" s="29"/>
      <c r="G2" s="29"/>
      <c r="H2" s="29"/>
      <c r="I2" s="27"/>
      <c r="J2" s="27"/>
      <c r="K2" s="27"/>
      <c r="L2" s="122"/>
      <c r="N2" s="211"/>
    </row>
    <row r="3" spans="1:14" s="31" customFormat="1" ht="21">
      <c r="A3" s="907">
        <f>'RFPR cover'!C7</f>
        <v>2020</v>
      </c>
      <c r="B3" s="914"/>
      <c r="C3" s="395"/>
      <c r="D3" s="259"/>
      <c r="E3" s="259"/>
      <c r="F3" s="259"/>
      <c r="G3" s="259"/>
      <c r="H3" s="259"/>
      <c r="I3" s="254"/>
      <c r="J3" s="254"/>
      <c r="K3" s="254"/>
      <c r="L3" s="260"/>
      <c r="N3" s="211"/>
    </row>
    <row r="4" spans="1:14" s="2" customFormat="1" ht="12.75" customHeight="1">
      <c r="C4" s="1"/>
      <c r="N4" s="128"/>
    </row>
    <row r="5" spans="1:14" s="2" customFormat="1">
      <c r="B5" s="38"/>
      <c r="C5" s="221"/>
      <c r="D5" s="387" t="str">
        <f>IF(D6&lt;='RFPR cover'!$C$7-1,"Actuals","Forecast")</f>
        <v>Actuals</v>
      </c>
      <c r="E5" s="387" t="str">
        <f>IF(E6&lt;='RFPR cover'!$C$7-1,"Actuals","Forecast")</f>
        <v>Actuals</v>
      </c>
      <c r="F5" s="387" t="str">
        <f>IF(F6&lt;='RFPR cover'!$C$7-1,"Actuals","Forecast")</f>
        <v>Actuals</v>
      </c>
      <c r="G5" s="387" t="str">
        <f>IF(G6&lt;='RFPR cover'!$C$7-1,"Actuals","Forecast")</f>
        <v>Actuals</v>
      </c>
      <c r="H5" s="387" t="str">
        <f>IF(H6&lt;='RFPR cover'!$C$7-1,"Actuals","Forecast")</f>
        <v>Forecast</v>
      </c>
      <c r="I5" s="387" t="str">
        <f>IF(I6&lt;='RFPR cover'!$C$7-1,"Actuals","Forecast")</f>
        <v>Forecast</v>
      </c>
      <c r="J5" s="387" t="str">
        <f>IF(J6&lt;='RFPR cover'!$C$7-1,"Actuals","Forecast")</f>
        <v>Forecast</v>
      </c>
      <c r="K5" s="387" t="str">
        <f>IF(K6&lt;='RFPR cover'!$C$7-1,"Actuals","Forecast")</f>
        <v>Forecast</v>
      </c>
      <c r="N5" s="128"/>
    </row>
    <row r="6" spans="1:14" s="2" customFormat="1">
      <c r="C6" s="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N6" s="128"/>
    </row>
    <row r="7" spans="1:14" s="2" customFormat="1">
      <c r="A7" s="35"/>
      <c r="B7" s="35"/>
      <c r="C7" s="318"/>
      <c r="D7" s="426"/>
      <c r="E7" s="426"/>
      <c r="F7" s="426"/>
      <c r="G7" s="426"/>
      <c r="H7" s="426"/>
      <c r="I7" s="426"/>
      <c r="J7" s="426"/>
      <c r="K7" s="426"/>
      <c r="L7" s="35"/>
      <c r="M7" s="35"/>
      <c r="N7" s="224"/>
    </row>
    <row r="8" spans="1:14" s="2" customFormat="1">
      <c r="B8" s="12" t="s">
        <v>323</v>
      </c>
      <c r="N8" s="128"/>
    </row>
    <row r="9" spans="1:14" s="2" customFormat="1">
      <c r="B9" s="365" t="s">
        <v>322</v>
      </c>
      <c r="C9" s="365"/>
      <c r="D9" s="365"/>
      <c r="E9" s="365"/>
      <c r="F9" s="365"/>
      <c r="G9" s="365"/>
      <c r="H9" s="365"/>
      <c r="I9" s="365"/>
      <c r="J9" s="365"/>
      <c r="K9" s="365"/>
      <c r="L9" s="365"/>
      <c r="N9" s="128"/>
    </row>
    <row r="10" spans="1:14" s="35" customFormat="1">
      <c r="B10" s="425"/>
      <c r="C10" s="425"/>
      <c r="D10" s="425"/>
      <c r="E10" s="425"/>
      <c r="F10" s="425"/>
      <c r="G10" s="425"/>
      <c r="H10" s="425"/>
      <c r="I10" s="425"/>
      <c r="J10" s="425"/>
      <c r="K10" s="425"/>
      <c r="L10" s="425"/>
      <c r="N10" s="224"/>
    </row>
    <row r="11" spans="1:14" s="2" customFormat="1">
      <c r="B11" s="199" t="s">
        <v>321</v>
      </c>
      <c r="C11" s="209" t="str">
        <f>'RFPR cover'!$C$14</f>
        <v>£m 12/13</v>
      </c>
      <c r="D11" s="710">
        <v>870.25709511491561</v>
      </c>
      <c r="E11" s="711">
        <v>900.48009472295337</v>
      </c>
      <c r="F11" s="711">
        <v>928.7965103000156</v>
      </c>
      <c r="G11" s="711">
        <v>964.23196756173559</v>
      </c>
      <c r="H11" s="711">
        <v>996.05019341449406</v>
      </c>
      <c r="I11" s="711">
        <v>1018.892761318746</v>
      </c>
      <c r="J11" s="711">
        <v>1038.9022092229704</v>
      </c>
      <c r="K11" s="712">
        <v>1061.6431546318777</v>
      </c>
      <c r="N11" s="128"/>
    </row>
    <row r="12" spans="1:14" s="2" customFormat="1">
      <c r="N12" s="128"/>
    </row>
    <row r="13" spans="1:14" s="2" customFormat="1">
      <c r="B13" s="12" t="s">
        <v>324</v>
      </c>
      <c r="C13" s="1"/>
      <c r="D13" s="1"/>
      <c r="E13" s="1"/>
      <c r="F13" s="1"/>
      <c r="G13" s="1"/>
      <c r="H13" s="1"/>
      <c r="I13" s="1"/>
      <c r="J13" s="1"/>
      <c r="K13" s="1"/>
      <c r="N13" s="128"/>
    </row>
    <row r="14" spans="1:14" s="2" customFormat="1">
      <c r="B14" s="365" t="s">
        <v>346</v>
      </c>
      <c r="C14" s="319"/>
      <c r="D14" s="319"/>
      <c r="E14" s="319"/>
      <c r="F14" s="319"/>
      <c r="G14" s="319"/>
      <c r="H14" s="319"/>
      <c r="I14" s="319"/>
      <c r="J14" s="319"/>
      <c r="K14" s="319"/>
      <c r="L14" s="291"/>
      <c r="N14" s="128"/>
    </row>
    <row r="15" spans="1:14" s="35" customFormat="1">
      <c r="B15" s="425"/>
      <c r="C15" s="318"/>
      <c r="D15" s="952"/>
      <c r="E15" s="952"/>
      <c r="F15" s="952"/>
      <c r="G15" s="952"/>
      <c r="H15" s="952"/>
      <c r="I15" s="952"/>
      <c r="J15" s="952"/>
      <c r="K15" s="952"/>
      <c r="N15" s="224"/>
    </row>
    <row r="16" spans="1:14" s="2" customFormat="1">
      <c r="B16" s="389" t="s">
        <v>325</v>
      </c>
      <c r="C16" s="209" t="str">
        <f>'RFPR cover'!$C$14</f>
        <v>£m 12/13</v>
      </c>
      <c r="D16" s="579">
        <v>840.95061479930121</v>
      </c>
      <c r="E16" s="713">
        <f>D29</f>
        <v>870.25709511491561</v>
      </c>
      <c r="F16" s="713">
        <f t="shared" ref="F16:K16" si="1">E29</f>
        <v>900.58689353537898</v>
      </c>
      <c r="G16" s="713">
        <f t="shared" si="1"/>
        <v>910.60066212217816</v>
      </c>
      <c r="H16" s="713">
        <f t="shared" si="1"/>
        <v>943.47469287467345</v>
      </c>
      <c r="I16" s="713">
        <f t="shared" si="1"/>
        <v>972.17189950579245</v>
      </c>
      <c r="J16" s="713">
        <f t="shared" si="1"/>
        <v>1004.9677329864528</v>
      </c>
      <c r="K16" s="582">
        <f t="shared" si="1"/>
        <v>1039.5531166902049</v>
      </c>
      <c r="N16" s="128"/>
    </row>
    <row r="17" spans="2:14" s="2" customFormat="1">
      <c r="B17" s="389" t="s">
        <v>326</v>
      </c>
      <c r="C17" s="209" t="str">
        <f>'RFPR cover'!$C$14</f>
        <v>£m 12/13</v>
      </c>
      <c r="D17" s="587"/>
      <c r="E17" s="588"/>
      <c r="F17" s="588"/>
      <c r="G17" s="588"/>
      <c r="H17" s="588"/>
      <c r="I17" s="588"/>
      <c r="J17" s="588"/>
      <c r="K17" s="681"/>
      <c r="N17" s="128"/>
    </row>
    <row r="18" spans="2:14" s="2" customFormat="1">
      <c r="B18" s="12" t="s">
        <v>327</v>
      </c>
      <c r="C18" s="209" t="str">
        <f>'RFPR cover'!$C$14</f>
        <v>£m 12/13</v>
      </c>
      <c r="D18" s="714">
        <f>SUM(D16:D17)</f>
        <v>840.95061479930121</v>
      </c>
      <c r="E18" s="715">
        <f t="shared" ref="E18:K18" si="2">SUM(E16:E17)</f>
        <v>870.25709511491561</v>
      </c>
      <c r="F18" s="715">
        <f t="shared" si="2"/>
        <v>900.58689353537898</v>
      </c>
      <c r="G18" s="715">
        <f t="shared" si="2"/>
        <v>910.60066212217816</v>
      </c>
      <c r="H18" s="715">
        <f t="shared" si="2"/>
        <v>943.47469287467345</v>
      </c>
      <c r="I18" s="715">
        <f t="shared" si="2"/>
        <v>972.17189950579245</v>
      </c>
      <c r="J18" s="715">
        <f t="shared" si="2"/>
        <v>1004.9677329864528</v>
      </c>
      <c r="K18" s="716">
        <f t="shared" si="2"/>
        <v>1039.5531166902049</v>
      </c>
      <c r="N18" s="128"/>
    </row>
    <row r="19" spans="2:14" s="2" customFormat="1">
      <c r="B19" s="391" t="s">
        <v>328</v>
      </c>
      <c r="C19" s="209" t="str">
        <f>'RFPR cover'!$C$14</f>
        <v>£m 12/13</v>
      </c>
      <c r="D19" s="583">
        <v>114.41790021853342</v>
      </c>
      <c r="E19" s="584">
        <v>116.4294365834574</v>
      </c>
      <c r="F19" s="584">
        <v>107.96243783192534</v>
      </c>
      <c r="G19" s="584">
        <v>114.30257768096084</v>
      </c>
      <c r="H19" s="953">
        <v>105.41510302068863</v>
      </c>
      <c r="I19" s="584">
        <v>101.05904794512101</v>
      </c>
      <c r="J19" s="584">
        <v>101.13609077955866</v>
      </c>
      <c r="K19" s="680">
        <v>102.06463503906366</v>
      </c>
      <c r="N19" s="128"/>
    </row>
    <row r="20" spans="2:14" s="2" customFormat="1">
      <c r="B20" s="391" t="s">
        <v>335</v>
      </c>
      <c r="C20" s="209" t="str">
        <f>'RFPR cover'!$C$14</f>
        <v>£m 12/13</v>
      </c>
      <c r="D20" s="587">
        <v>0</v>
      </c>
      <c r="E20" s="588">
        <v>0</v>
      </c>
      <c r="F20" s="588">
        <v>-18.195842821786002</v>
      </c>
      <c r="G20" s="588">
        <v>-3.1802897963858014</v>
      </c>
      <c r="H20" s="588">
        <v>-6.327271247981367E-2</v>
      </c>
      <c r="I20" s="588">
        <v>7.3377461661065055</v>
      </c>
      <c r="J20" s="588">
        <v>8.4431429972791996</v>
      </c>
      <c r="K20" s="681">
        <v>7.9873192088998062</v>
      </c>
      <c r="N20" s="128"/>
    </row>
    <row r="21" spans="2:14" s="2" customFormat="1">
      <c r="B21" s="390" t="s">
        <v>331</v>
      </c>
      <c r="C21" s="209" t="str">
        <f>'RFPR cover'!$C$14</f>
        <v>£m 12/13</v>
      </c>
      <c r="D21" s="714">
        <f t="shared" ref="D21:K21" si="3">SUM(D19:D20)</f>
        <v>114.41790021853342</v>
      </c>
      <c r="E21" s="715">
        <f t="shared" si="3"/>
        <v>116.4294365834574</v>
      </c>
      <c r="F21" s="715">
        <f t="shared" si="3"/>
        <v>89.766595010139341</v>
      </c>
      <c r="G21" s="715">
        <f t="shared" si="3"/>
        <v>111.12228788457503</v>
      </c>
      <c r="H21" s="715">
        <f t="shared" si="3"/>
        <v>105.35183030820882</v>
      </c>
      <c r="I21" s="715">
        <f t="shared" si="3"/>
        <v>108.39679411122751</v>
      </c>
      <c r="J21" s="715">
        <f t="shared" si="3"/>
        <v>109.57923377683785</v>
      </c>
      <c r="K21" s="716">
        <f t="shared" si="3"/>
        <v>110.05195424796347</v>
      </c>
      <c r="N21" s="128"/>
    </row>
    <row r="22" spans="2:14" s="2" customFormat="1">
      <c r="B22" s="391" t="s">
        <v>329</v>
      </c>
      <c r="C22" s="209" t="str">
        <f>'RFPR cover'!$C$14</f>
        <v>£m 12/13</v>
      </c>
      <c r="D22" s="583">
        <v>-85.111419902918968</v>
      </c>
      <c r="E22" s="584">
        <v>-86.099638162994083</v>
      </c>
      <c r="F22" s="584">
        <v>-79.752826423340125</v>
      </c>
      <c r="G22" s="584">
        <v>-78.867690079204365</v>
      </c>
      <c r="H22" s="584">
        <v>-77.371911694872452</v>
      </c>
      <c r="I22" s="953">
        <v>-76.320024724489656</v>
      </c>
      <c r="J22" s="953">
        <v>-75.523552975624767</v>
      </c>
      <c r="K22" s="954">
        <v>-74.779603735187706</v>
      </c>
      <c r="N22" s="128"/>
    </row>
    <row r="23" spans="2:14" s="2" customFormat="1">
      <c r="B23" s="391" t="s">
        <v>330</v>
      </c>
      <c r="C23" s="209" t="str">
        <f>'RFPR cover'!$C$14</f>
        <v>£m 12/13</v>
      </c>
      <c r="D23" s="587">
        <v>0</v>
      </c>
      <c r="E23" s="588">
        <v>0</v>
      </c>
      <c r="F23" s="588">
        <v>0</v>
      </c>
      <c r="G23" s="588">
        <v>0.61943294712462982</v>
      </c>
      <c r="H23" s="588">
        <v>0.7172880177826545</v>
      </c>
      <c r="I23" s="588">
        <v>0.71906409392243875</v>
      </c>
      <c r="J23" s="588">
        <v>0.52970290253904495</v>
      </c>
      <c r="K23" s="681">
        <v>0.32807560708163125</v>
      </c>
      <c r="N23" s="128"/>
    </row>
    <row r="24" spans="2:14" s="2" customFormat="1">
      <c r="B24" s="390" t="s">
        <v>332</v>
      </c>
      <c r="C24" s="209" t="str">
        <f>'RFPR cover'!$C$14</f>
        <v>£m 12/13</v>
      </c>
      <c r="D24" s="714">
        <f t="shared" ref="D24:K24" si="4">SUM(D22:D23)</f>
        <v>-85.111419902918968</v>
      </c>
      <c r="E24" s="715">
        <f t="shared" si="4"/>
        <v>-86.099638162994083</v>
      </c>
      <c r="F24" s="715">
        <f t="shared" si="4"/>
        <v>-79.752826423340125</v>
      </c>
      <c r="G24" s="715">
        <f t="shared" si="4"/>
        <v>-78.248257132079729</v>
      </c>
      <c r="H24" s="715">
        <f t="shared" si="4"/>
        <v>-76.654623677089802</v>
      </c>
      <c r="I24" s="715">
        <f t="shared" si="4"/>
        <v>-75.600960630567215</v>
      </c>
      <c r="J24" s="715">
        <f t="shared" si="4"/>
        <v>-74.993850073085724</v>
      </c>
      <c r="K24" s="716">
        <f t="shared" si="4"/>
        <v>-74.451528128106077</v>
      </c>
      <c r="N24" s="128"/>
    </row>
    <row r="25" spans="2:14" s="2" customFormat="1">
      <c r="B25" s="392" t="s">
        <v>268</v>
      </c>
      <c r="C25" s="209" t="str">
        <f>'RFPR cover'!$C$14</f>
        <v>£m 12/13</v>
      </c>
      <c r="D25" s="717"/>
      <c r="E25" s="718"/>
      <c r="F25" s="718"/>
      <c r="G25" s="718"/>
      <c r="H25" s="718"/>
      <c r="I25" s="718"/>
      <c r="J25" s="718"/>
      <c r="K25" s="719"/>
      <c r="N25" s="128"/>
    </row>
    <row r="26" spans="2:14" s="2" customFormat="1">
      <c r="B26" s="392" t="s">
        <v>268</v>
      </c>
      <c r="C26" s="209" t="str">
        <f>'RFPR cover'!$C$14</f>
        <v>£m 12/13</v>
      </c>
      <c r="D26" s="717"/>
      <c r="E26" s="718"/>
      <c r="F26" s="718"/>
      <c r="G26" s="718"/>
      <c r="H26" s="718"/>
      <c r="I26" s="718"/>
      <c r="J26" s="718"/>
      <c r="K26" s="719"/>
      <c r="N26" s="128"/>
    </row>
    <row r="27" spans="2:14" s="2" customFormat="1">
      <c r="B27" s="392" t="s">
        <v>268</v>
      </c>
      <c r="C27" s="209" t="str">
        <f>'RFPR cover'!$C$14</f>
        <v>£m 12/13</v>
      </c>
      <c r="D27" s="717"/>
      <c r="E27" s="718"/>
      <c r="F27" s="718"/>
      <c r="G27" s="718"/>
      <c r="H27" s="718"/>
      <c r="I27" s="718"/>
      <c r="J27" s="718"/>
      <c r="K27" s="719"/>
      <c r="N27" s="128"/>
    </row>
    <row r="28" spans="2:14" s="2" customFormat="1">
      <c r="B28" s="390" t="s">
        <v>333</v>
      </c>
      <c r="C28" s="209" t="str">
        <f>'RFPR cover'!$C$14</f>
        <v>£m 12/13</v>
      </c>
      <c r="D28" s="720">
        <f>SUM(D25:D27)</f>
        <v>0</v>
      </c>
      <c r="E28" s="721">
        <f t="shared" ref="E28:K28" si="5">SUM(E25:E27)</f>
        <v>0</v>
      </c>
      <c r="F28" s="721">
        <f t="shared" si="5"/>
        <v>0</v>
      </c>
      <c r="G28" s="721">
        <f t="shared" si="5"/>
        <v>0</v>
      </c>
      <c r="H28" s="721">
        <f t="shared" si="5"/>
        <v>0</v>
      </c>
      <c r="I28" s="721">
        <f t="shared" si="5"/>
        <v>0</v>
      </c>
      <c r="J28" s="721">
        <f t="shared" si="5"/>
        <v>0</v>
      </c>
      <c r="K28" s="722">
        <f t="shared" si="5"/>
        <v>0</v>
      </c>
      <c r="N28" s="128"/>
    </row>
    <row r="29" spans="2:14" s="2" customFormat="1">
      <c r="B29" s="12" t="s">
        <v>334</v>
      </c>
      <c r="C29" s="209" t="str">
        <f>'RFPR cover'!$C$14</f>
        <v>£m 12/13</v>
      </c>
      <c r="D29" s="723">
        <f>D18+D21+D24+D28</f>
        <v>870.25709511491561</v>
      </c>
      <c r="E29" s="724">
        <f t="shared" ref="E29:K29" si="6">E18+E21+E24+E28</f>
        <v>900.58689353537898</v>
      </c>
      <c r="F29" s="724">
        <f t="shared" si="6"/>
        <v>910.60066212217816</v>
      </c>
      <c r="G29" s="724">
        <f t="shared" si="6"/>
        <v>943.47469287467345</v>
      </c>
      <c r="H29" s="724">
        <f t="shared" si="6"/>
        <v>972.17189950579245</v>
      </c>
      <c r="I29" s="724">
        <f t="shared" si="6"/>
        <v>1004.9677329864528</v>
      </c>
      <c r="J29" s="724">
        <f t="shared" si="6"/>
        <v>1039.5531166902049</v>
      </c>
      <c r="K29" s="725">
        <f t="shared" si="6"/>
        <v>1075.1535428100624</v>
      </c>
      <c r="N29" s="128"/>
    </row>
    <row r="30" spans="2:14" s="2" customFormat="1">
      <c r="B30" s="12"/>
      <c r="C30" s="209"/>
      <c r="D30" s="209"/>
      <c r="E30" s="209"/>
      <c r="F30" s="209"/>
      <c r="G30" s="209"/>
      <c r="H30" s="209"/>
      <c r="I30" s="209"/>
      <c r="J30" s="209"/>
      <c r="K30" s="209"/>
      <c r="L30" s="209"/>
      <c r="N30" s="128"/>
    </row>
    <row r="31" spans="2:14" s="2" customFormat="1">
      <c r="B31" s="12" t="s">
        <v>510</v>
      </c>
      <c r="C31" s="209" t="str">
        <f>'RFPR cover'!$C$14</f>
        <v>£m 12/13</v>
      </c>
      <c r="D31" s="723">
        <f t="shared" ref="D31:K31" si="7">(D20+D23+D28)</f>
        <v>0</v>
      </c>
      <c r="E31" s="723">
        <f t="shared" si="7"/>
        <v>0</v>
      </c>
      <c r="F31" s="723">
        <f t="shared" si="7"/>
        <v>-18.195842821786002</v>
      </c>
      <c r="G31" s="723">
        <f t="shared" si="7"/>
        <v>-2.5608568492611719</v>
      </c>
      <c r="H31" s="723">
        <f t="shared" si="7"/>
        <v>0.6540153053028408</v>
      </c>
      <c r="I31" s="723">
        <f t="shared" si="7"/>
        <v>8.0568102600289446</v>
      </c>
      <c r="J31" s="723">
        <f t="shared" si="7"/>
        <v>8.9728458998182443</v>
      </c>
      <c r="K31" s="723">
        <f t="shared" si="7"/>
        <v>8.3153948159814366</v>
      </c>
      <c r="L31" s="209"/>
      <c r="N31" s="128"/>
    </row>
    <row r="32" spans="2:14" s="2" customFormat="1">
      <c r="B32" s="12" t="s">
        <v>511</v>
      </c>
      <c r="C32" s="209"/>
      <c r="D32" s="512" t="str">
        <f>IF(D5="Actuals",IF(ABS((D29-SUM($D$31:D31))-D11)&lt;'RFPR cover'!$F$14,"TRUE","FALSE"),"NA")</f>
        <v>TRUE</v>
      </c>
      <c r="E32" s="512" t="str">
        <f>IF(E5="Actuals",IF(ABS((E29-SUM($D$31:E31))-E11)&lt;'RFPR cover'!$F$14,"TRUE","FALSE"),"NA")</f>
        <v>FALSE</v>
      </c>
      <c r="F32" s="512" t="str">
        <f>IF(F5="Actuals",IF(ABS((F29-SUM($D$31:F31))-F11)&lt;'RFPR cover'!$F$14,"TRUE","FALSE"),"NA")</f>
        <v>TRUE</v>
      </c>
      <c r="G32" s="512" t="str">
        <f>IF(G5="Actuals",IF(ABS((G29-SUM($D$31:G31))-G11)&lt;'RFPR cover'!$F$14,"TRUE","FALSE"),"NA")</f>
        <v>TRUE</v>
      </c>
      <c r="H32" s="512" t="str">
        <f>IF(H5="Actuals",IF(ABS((H29-SUM($D$31:H31))-H11)&lt;'RFPR cover'!$F$14,"TRUE","FALSE"),"NA")</f>
        <v>NA</v>
      </c>
      <c r="I32" s="512" t="str">
        <f>IF(I5="Actuals",IF(ABS((I29-SUM($D$31:I31))-I11)&lt;'RFPR cover'!$F$14,"TRUE","FALSE"),"NA")</f>
        <v>NA</v>
      </c>
      <c r="J32" s="512" t="str">
        <f>IF(J5="Actuals",IF(ABS((J29-SUM($D$31:J31))-J11)&lt;'RFPR cover'!$F$14,"TRUE","FALSE"),"NA")</f>
        <v>NA</v>
      </c>
      <c r="K32" s="512" t="str">
        <f>IF(K5="Actuals",IF(ABS((K29-SUM($D$31:K31))-K11)&lt;'RFPR cover'!$F$14,"TRUE","FALSE"),"NA")</f>
        <v>NA</v>
      </c>
      <c r="L32" s="209"/>
      <c r="N32" s="128"/>
    </row>
    <row r="33" spans="2:14" s="35" customFormat="1">
      <c r="B33" s="51"/>
      <c r="C33" s="474"/>
      <c r="D33" s="475"/>
      <c r="E33" s="475"/>
      <c r="F33" s="475"/>
      <c r="G33" s="475"/>
      <c r="H33" s="475"/>
      <c r="I33" s="475"/>
      <c r="J33" s="475"/>
      <c r="K33" s="475"/>
      <c r="N33" s="224"/>
    </row>
    <row r="34" spans="2:14" s="35" customFormat="1">
      <c r="B34" s="51" t="s">
        <v>42</v>
      </c>
      <c r="C34" s="266" t="s">
        <v>127</v>
      </c>
      <c r="D34" s="111">
        <f>Data!C$35</f>
        <v>1.0677429242873198</v>
      </c>
      <c r="E34" s="111">
        <f>Data!D$35</f>
        <v>1.1033002963114336</v>
      </c>
      <c r="F34" s="111">
        <f>Data!E$35</f>
        <v>1.1402881373250229</v>
      </c>
      <c r="G34" s="111">
        <f>Data!F$35</f>
        <v>1.171554102380709</v>
      </c>
      <c r="H34" s="111">
        <f>Data!G$35</f>
        <v>1.1958720752017984</v>
      </c>
      <c r="I34" s="111">
        <f>Data!H$35</f>
        <v>1.2162019004802289</v>
      </c>
      <c r="J34" s="111">
        <f>Data!I$35</f>
        <v>1.2420461908654337</v>
      </c>
      <c r="K34" s="111">
        <f>Data!J$35</f>
        <v>1.2740288802802187</v>
      </c>
      <c r="N34" s="224"/>
    </row>
    <row r="35" spans="2:14" s="31" customFormat="1">
      <c r="B35" s="37" t="s">
        <v>374</v>
      </c>
      <c r="C35" s="266" t="s">
        <v>127</v>
      </c>
      <c r="D35" s="111">
        <f>Data!C$34</f>
        <v>1.0603167467048125</v>
      </c>
      <c r="E35" s="112">
        <f>Data!D$34</f>
        <v>1.0830366813119445</v>
      </c>
      <c r="F35" s="112">
        <f>Data!E$34</f>
        <v>1.1235639113109226</v>
      </c>
      <c r="G35" s="112">
        <f>Data!F$34</f>
        <v>1.1578951670583426</v>
      </c>
      <c r="H35" s="112">
        <f>Data!G$34</f>
        <v>1.1878696229692449</v>
      </c>
      <c r="I35" s="112">
        <f>Data!H$34</f>
        <v>1.2080634065597218</v>
      </c>
      <c r="J35" s="112">
        <f>Data!I$34</f>
        <v>1.2337347539491161</v>
      </c>
      <c r="K35" s="113">
        <f>Data!J$34</f>
        <v>1.2655034238633056</v>
      </c>
      <c r="L35" s="233"/>
      <c r="N35" s="211"/>
    </row>
    <row r="36" spans="2:14" s="31" customFormat="1">
      <c r="B36" s="170" t="s">
        <v>508</v>
      </c>
      <c r="C36" s="266" t="s">
        <v>127</v>
      </c>
      <c r="D36" s="863">
        <f>INDEX(Data!$F$14:$F$30,MATCH($D$6-1,Data!$C$14:$C$30,0),0)/IF('RFPR cover'!$C$6="ED1",Data!$E$17,Data!$E$14)</f>
        <v>1.0526208235414325</v>
      </c>
      <c r="E36" s="864"/>
      <c r="F36" s="864"/>
      <c r="G36" s="864"/>
      <c r="H36" s="864"/>
      <c r="I36" s="864"/>
      <c r="J36" s="864"/>
      <c r="K36" s="864"/>
      <c r="L36" s="233"/>
      <c r="N36" s="211"/>
    </row>
    <row r="37" spans="2:14" s="35" customFormat="1">
      <c r="B37" s="51"/>
      <c r="C37" s="474"/>
      <c r="D37" s="475"/>
      <c r="E37" s="475"/>
      <c r="F37" s="475"/>
      <c r="G37" s="475"/>
      <c r="H37" s="475"/>
      <c r="I37" s="475"/>
      <c r="J37" s="475"/>
      <c r="K37" s="475"/>
      <c r="N37" s="224"/>
    </row>
    <row r="38" spans="2:14" s="2" customFormat="1">
      <c r="B38" s="12" t="s">
        <v>334</v>
      </c>
      <c r="C38" s="265" t="s">
        <v>128</v>
      </c>
      <c r="D38" s="723">
        <f t="shared" ref="D38:K38" si="8">D29*D34</f>
        <v>929.21085561978816</v>
      </c>
      <c r="E38" s="723">
        <f t="shared" si="8"/>
        <v>993.61778649177711</v>
      </c>
      <c r="F38" s="723">
        <f t="shared" si="8"/>
        <v>1038.3471328582311</v>
      </c>
      <c r="G38" s="723">
        <f t="shared" si="8"/>
        <v>1105.3316469297031</v>
      </c>
      <c r="H38" s="723">
        <f t="shared" si="8"/>
        <v>1162.5932269148661</v>
      </c>
      <c r="I38" s="723">
        <f t="shared" si="8"/>
        <v>1222.2436667794311</v>
      </c>
      <c r="J38" s="723">
        <f t="shared" si="8"/>
        <v>1291.1729887873587</v>
      </c>
      <c r="K38" s="723">
        <f t="shared" si="8"/>
        <v>1369.7766642756139</v>
      </c>
      <c r="N38" s="128"/>
    </row>
    <row r="39" spans="2:14" s="2" customFormat="1">
      <c r="B39" s="12"/>
      <c r="C39" s="209"/>
      <c r="D39" s="209"/>
      <c r="E39" s="209"/>
      <c r="F39" s="209"/>
      <c r="G39" s="209"/>
      <c r="H39" s="209"/>
      <c r="I39" s="209"/>
      <c r="J39" s="209"/>
      <c r="K39" s="209"/>
      <c r="N39" s="128"/>
    </row>
    <row r="40" spans="2:14" s="2" customFormat="1">
      <c r="B40" s="503" t="s">
        <v>337</v>
      </c>
      <c r="C40" s="209" t="s">
        <v>340</v>
      </c>
      <c r="D40" s="405">
        <f>INDEX(Data!$K$73:$T$100,MATCH('RFPR cover'!$C$5,Data!$B$73:$B$100,0),MATCH('R9 - RAV'!D$6,Data!$K$72:$T$72,0))</f>
        <v>2.5499999999999998E-2</v>
      </c>
      <c r="E40" s="406">
        <f>INDEX(Data!$K$73:$T$100,MATCH('RFPR cover'!$C$5,Data!$B$73:$B$100,0),MATCH('R9 - RAV'!E$6,Data!$K$72:$T$72,0))</f>
        <v>2.3799999999999998E-2</v>
      </c>
      <c r="F40" s="406">
        <f>INDEX(Data!$K$73:$T$100,MATCH('RFPR cover'!$C$5,Data!$B$73:$B$100,0),MATCH('R9 - RAV'!F$6,Data!$K$72:$T$72,0))</f>
        <v>2.2200000000000001E-2</v>
      </c>
      <c r="G40" s="406">
        <f>INDEX(Data!$K$73:$T$100,MATCH('RFPR cover'!$C$5,Data!$B$73:$B$100,0),MATCH('R9 - RAV'!G$6,Data!$K$72:$T$72,0))</f>
        <v>1.9099999999999999E-2</v>
      </c>
      <c r="H40" s="406">
        <f>INDEX(Data!$K$73:$T$100,MATCH('RFPR cover'!$C$5,Data!$B$73:$B$100,0),MATCH('R9 - RAV'!H$6,Data!$K$72:$T$72,0))</f>
        <v>1.5800000000000002E-2</v>
      </c>
      <c r="I40" s="406">
        <f>INDEX(Data!$K$73:$T$100,MATCH('RFPR cover'!$C$5,Data!$B$73:$B$100,0),MATCH('R9 - RAV'!I$6,Data!$K$72:$T$72,0))</f>
        <v>1.09E-2</v>
      </c>
      <c r="J40" s="406">
        <f>INDEX(Data!$K$73:$T$100,MATCH('RFPR cover'!$C$5,Data!$B$73:$B$100,0),MATCH('R9 - RAV'!J$6,Data!$K$72:$T$72,0))</f>
        <v>7.7000000000000002E-3</v>
      </c>
      <c r="K40" s="407">
        <f>INDEX(Data!$K$73:$T$100,MATCH('RFPR cover'!$C$5,Data!$B$73:$B$100,0),MATCH('R9 - RAV'!K$6,Data!$K$72:$T$72,0))</f>
        <v>4.5999999999999999E-3</v>
      </c>
      <c r="N40" s="128"/>
    </row>
    <row r="41" spans="2:14" s="2" customFormat="1">
      <c r="B41" s="503" t="s">
        <v>338</v>
      </c>
      <c r="C41" s="209" t="s">
        <v>340</v>
      </c>
      <c r="D41" s="408">
        <f>'RFPR cover'!$C$10</f>
        <v>6.4000000000000001E-2</v>
      </c>
      <c r="E41" s="409">
        <f>'RFPR cover'!$C$10</f>
        <v>6.4000000000000001E-2</v>
      </c>
      <c r="F41" s="409">
        <f>'RFPR cover'!$C$10</f>
        <v>6.4000000000000001E-2</v>
      </c>
      <c r="G41" s="409">
        <f>'RFPR cover'!$C$10</f>
        <v>6.4000000000000001E-2</v>
      </c>
      <c r="H41" s="409">
        <f>'RFPR cover'!$C$10</f>
        <v>6.4000000000000001E-2</v>
      </c>
      <c r="I41" s="409">
        <f>'RFPR cover'!$C$10</f>
        <v>6.4000000000000001E-2</v>
      </c>
      <c r="J41" s="409">
        <f>'RFPR cover'!$C$10</f>
        <v>6.4000000000000001E-2</v>
      </c>
      <c r="K41" s="410">
        <f>'RFPR cover'!$C$10</f>
        <v>6.4000000000000001E-2</v>
      </c>
      <c r="N41" s="128"/>
    </row>
    <row r="42" spans="2:14" s="2" customFormat="1">
      <c r="B42" s="503" t="s">
        <v>339</v>
      </c>
      <c r="C42" s="209" t="s">
        <v>7</v>
      </c>
      <c r="D42" s="411">
        <f>'RFPR cover'!$C$12</f>
        <v>0.65</v>
      </c>
      <c r="E42" s="412">
        <f>'RFPR cover'!$C$12</f>
        <v>0.65</v>
      </c>
      <c r="F42" s="412">
        <f>'RFPR cover'!$C$12</f>
        <v>0.65</v>
      </c>
      <c r="G42" s="412">
        <f>'RFPR cover'!$C$12</f>
        <v>0.65</v>
      </c>
      <c r="H42" s="412">
        <f>'RFPR cover'!$C$12</f>
        <v>0.65</v>
      </c>
      <c r="I42" s="412">
        <f>'RFPR cover'!$C$12</f>
        <v>0.65</v>
      </c>
      <c r="J42" s="412">
        <f>'RFPR cover'!$C$12</f>
        <v>0.65</v>
      </c>
      <c r="K42" s="413">
        <f>'RFPR cover'!$C$12</f>
        <v>0.65</v>
      </c>
      <c r="N42" s="128"/>
    </row>
    <row r="43" spans="2:14">
      <c r="B43" s="199" t="s">
        <v>273</v>
      </c>
      <c r="C43" s="393" t="s">
        <v>340</v>
      </c>
      <c r="D43" s="402">
        <f t="shared" ref="D43:K43" si="9">D40*D42+D41*(1-D42)</f>
        <v>3.8974999999999996E-2</v>
      </c>
      <c r="E43" s="403">
        <f t="shared" si="9"/>
        <v>3.7870000000000001E-2</v>
      </c>
      <c r="F43" s="403">
        <f t="shared" si="9"/>
        <v>3.6830000000000002E-2</v>
      </c>
      <c r="G43" s="403">
        <f t="shared" si="9"/>
        <v>3.4814999999999999E-2</v>
      </c>
      <c r="H43" s="403">
        <f t="shared" si="9"/>
        <v>3.2670000000000005E-2</v>
      </c>
      <c r="I43" s="403">
        <f t="shared" si="9"/>
        <v>2.9485000000000001E-2</v>
      </c>
      <c r="J43" s="403">
        <f t="shared" si="9"/>
        <v>2.7404999999999999E-2</v>
      </c>
      <c r="K43" s="404">
        <f t="shared" si="9"/>
        <v>2.5389999999999999E-2</v>
      </c>
      <c r="L43" s="210"/>
    </row>
    <row r="44" spans="2:14">
      <c r="C44" s="222"/>
      <c r="D44" s="217"/>
      <c r="E44" s="217"/>
      <c r="F44" s="217"/>
      <c r="G44" s="217"/>
      <c r="H44" s="217"/>
      <c r="I44" s="217"/>
      <c r="J44" s="217"/>
      <c r="K44" s="217"/>
    </row>
    <row r="45" spans="2:14">
      <c r="B45" s="368" t="s">
        <v>341</v>
      </c>
      <c r="C45" s="393" t="str">
        <f>'RFPR cover'!$C$14</f>
        <v>£m 12/13</v>
      </c>
      <c r="D45" s="94">
        <f t="shared" ref="D45:K45" si="10">D47*D42</f>
        <v>545.53258937025078</v>
      </c>
      <c r="E45" s="95">
        <f t="shared" si="10"/>
        <v>564.84454033139639</v>
      </c>
      <c r="F45" s="95">
        <f t="shared" si="10"/>
        <v>578.1234682229499</v>
      </c>
      <c r="G45" s="95">
        <f t="shared" si="10"/>
        <v>592.25834863314356</v>
      </c>
      <c r="H45" s="95">
        <f t="shared" si="10"/>
        <v>612.58942444723039</v>
      </c>
      <c r="I45" s="95">
        <f t="shared" si="10"/>
        <v>633.21596653519123</v>
      </c>
      <c r="J45" s="95">
        <f t="shared" si="10"/>
        <v>655.45733851764817</v>
      </c>
      <c r="K45" s="96">
        <f t="shared" si="10"/>
        <v>678.6274459164174</v>
      </c>
    </row>
    <row r="46" spans="2:14">
      <c r="B46" s="368" t="s">
        <v>232</v>
      </c>
      <c r="C46" s="393" t="str">
        <f>'RFPR cover'!$C$14</f>
        <v>£m 12/13</v>
      </c>
      <c r="D46" s="518">
        <f t="shared" ref="D46:K46" si="11">D47*(1-D42)</f>
        <v>293.74831735321192</v>
      </c>
      <c r="E46" s="519">
        <f t="shared" si="11"/>
        <v>304.14706017844418</v>
      </c>
      <c r="F46" s="519">
        <f t="shared" si="11"/>
        <v>311.2972521200499</v>
      </c>
      <c r="G46" s="519">
        <f t="shared" si="11"/>
        <v>318.90834157169263</v>
      </c>
      <c r="H46" s="519">
        <f t="shared" si="11"/>
        <v>329.85584393312405</v>
      </c>
      <c r="I46" s="519">
        <f t="shared" si="11"/>
        <v>340.9624435189491</v>
      </c>
      <c r="J46" s="519">
        <f t="shared" si="11"/>
        <v>352.9385668941182</v>
      </c>
      <c r="K46" s="520">
        <f t="shared" si="11"/>
        <v>365.41477857037853</v>
      </c>
    </row>
    <row r="47" spans="2:14">
      <c r="B47" s="199" t="s">
        <v>231</v>
      </c>
      <c r="C47" s="209" t="str">
        <f>'RFPR cover'!$C$14</f>
        <v>£m 12/13</v>
      </c>
      <c r="D47" s="101">
        <f t="shared" ref="D47:K47" si="12">AVERAGE(D16,D29*(1/(1+D43)))</f>
        <v>839.28090672346275</v>
      </c>
      <c r="E47" s="102">
        <f t="shared" si="12"/>
        <v>868.99160050984051</v>
      </c>
      <c r="F47" s="102">
        <f t="shared" si="12"/>
        <v>889.42072034299986</v>
      </c>
      <c r="G47" s="102">
        <f t="shared" si="12"/>
        <v>911.16669020483619</v>
      </c>
      <c r="H47" s="102">
        <f t="shared" si="12"/>
        <v>942.44526838035449</v>
      </c>
      <c r="I47" s="102">
        <f t="shared" si="12"/>
        <v>974.17841005414039</v>
      </c>
      <c r="J47" s="102">
        <f t="shared" si="12"/>
        <v>1008.3959054117663</v>
      </c>
      <c r="K47" s="103">
        <f t="shared" si="12"/>
        <v>1044.0422244867959</v>
      </c>
      <c r="N47" s="213"/>
    </row>
    <row r="48" spans="2:14">
      <c r="B48" s="199"/>
      <c r="C48" s="209"/>
      <c r="D48" s="209"/>
      <c r="E48" s="209"/>
      <c r="F48" s="209"/>
      <c r="G48" s="209"/>
      <c r="H48" s="209"/>
      <c r="I48" s="209"/>
      <c r="J48" s="209"/>
      <c r="K48" s="209"/>
      <c r="N48" s="213"/>
    </row>
    <row r="49" spans="2:14">
      <c r="B49" s="368" t="s">
        <v>342</v>
      </c>
      <c r="C49" s="393" t="str">
        <f>'RFPR cover'!$C$14</f>
        <v>£m 12/13</v>
      </c>
      <c r="D49" s="726">
        <f>D40*D45</f>
        <v>13.911081028941394</v>
      </c>
      <c r="E49" s="727">
        <f t="shared" ref="D49:K50" si="13">E40*E45</f>
        <v>13.443300059887234</v>
      </c>
      <c r="F49" s="727">
        <f t="shared" si="13"/>
        <v>12.834340994549489</v>
      </c>
      <c r="G49" s="727">
        <f t="shared" si="13"/>
        <v>11.312134458893041</v>
      </c>
      <c r="H49" s="727">
        <f t="shared" si="13"/>
        <v>9.6789129062662411</v>
      </c>
      <c r="I49" s="727">
        <f t="shared" si="13"/>
        <v>6.9020540352335846</v>
      </c>
      <c r="J49" s="727">
        <f t="shared" si="13"/>
        <v>5.0470215065858914</v>
      </c>
      <c r="K49" s="728">
        <f t="shared" si="13"/>
        <v>3.1216862512155199</v>
      </c>
    </row>
    <row r="50" spans="2:14">
      <c r="B50" s="368" t="s">
        <v>229</v>
      </c>
      <c r="C50" s="393" t="str">
        <f>'RFPR cover'!$C$14</f>
        <v>£m 12/13</v>
      </c>
      <c r="D50" s="91">
        <f t="shared" si="13"/>
        <v>18.799892310605564</v>
      </c>
      <c r="E50" s="92">
        <f t="shared" si="13"/>
        <v>19.465411851420427</v>
      </c>
      <c r="F50" s="92">
        <f t="shared" si="13"/>
        <v>19.923024135683196</v>
      </c>
      <c r="G50" s="92">
        <f t="shared" si="13"/>
        <v>20.410133860588328</v>
      </c>
      <c r="H50" s="92">
        <f t="shared" si="13"/>
        <v>21.11077401171994</v>
      </c>
      <c r="I50" s="92">
        <f t="shared" si="13"/>
        <v>21.821596385212743</v>
      </c>
      <c r="J50" s="92">
        <f t="shared" si="13"/>
        <v>22.588068281223563</v>
      </c>
      <c r="K50" s="93">
        <f t="shared" si="13"/>
        <v>23.386545828504225</v>
      </c>
      <c r="N50" s="213"/>
    </row>
    <row r="51" spans="2:14">
      <c r="B51" s="199" t="s">
        <v>344</v>
      </c>
      <c r="C51" s="393" t="str">
        <f>'RFPR cover'!$C$14</f>
        <v>£m 12/13</v>
      </c>
      <c r="D51" s="101">
        <f>SUM(D49:D50)</f>
        <v>32.71097333954696</v>
      </c>
      <c r="E51" s="102">
        <f t="shared" ref="E51:K51" si="14">SUM(E49:E50)</f>
        <v>32.908711911307662</v>
      </c>
      <c r="F51" s="102">
        <f t="shared" si="14"/>
        <v>32.757365130232685</v>
      </c>
      <c r="G51" s="102">
        <f t="shared" si="14"/>
        <v>31.722268319481369</v>
      </c>
      <c r="H51" s="102">
        <f t="shared" si="14"/>
        <v>30.789686917986181</v>
      </c>
      <c r="I51" s="102">
        <f t="shared" si="14"/>
        <v>28.723650420446326</v>
      </c>
      <c r="J51" s="102">
        <f t="shared" si="14"/>
        <v>27.635089787809456</v>
      </c>
      <c r="K51" s="103">
        <f t="shared" si="14"/>
        <v>26.508232079719747</v>
      </c>
      <c r="N51" s="213"/>
    </row>
    <row r="53" spans="2:14" s="31" customFormat="1">
      <c r="B53" s="368" t="s">
        <v>341</v>
      </c>
      <c r="C53" s="265" t="s">
        <v>128</v>
      </c>
      <c r="D53" s="94">
        <f t="shared" ref="D53:K54" si="15">D$35*D45</f>
        <v>578.43734038251671</v>
      </c>
      <c r="E53" s="95">
        <f t="shared" si="15"/>
        <v>611.74735641768632</v>
      </c>
      <c r="F53" s="95">
        <f t="shared" si="15"/>
        <v>649.55866517721347</v>
      </c>
      <c r="G53" s="95">
        <f t="shared" si="15"/>
        <v>685.77307953227182</v>
      </c>
      <c r="H53" s="95">
        <f t="shared" si="15"/>
        <v>727.67636865307827</v>
      </c>
      <c r="I53" s="95">
        <f t="shared" si="15"/>
        <v>764.96503762050986</v>
      </c>
      <c r="J53" s="95">
        <f t="shared" si="15"/>
        <v>808.66049826021322</v>
      </c>
      <c r="K53" s="96">
        <f t="shared" si="15"/>
        <v>858.80535633483646</v>
      </c>
      <c r="L53" s="233"/>
      <c r="N53" s="211"/>
    </row>
    <row r="54" spans="2:14" s="31" customFormat="1">
      <c r="B54" s="368" t="s">
        <v>232</v>
      </c>
      <c r="C54" s="265" t="s">
        <v>128</v>
      </c>
      <c r="D54" s="518">
        <f t="shared" si="15"/>
        <v>311.46626020597046</v>
      </c>
      <c r="E54" s="519">
        <f t="shared" si="15"/>
        <v>329.40242268644647</v>
      </c>
      <c r="F54" s="519">
        <f t="shared" si="15"/>
        <v>349.76235817234567</v>
      </c>
      <c r="G54" s="519">
        <f t="shared" si="15"/>
        <v>369.26242744045402</v>
      </c>
      <c r="H54" s="519">
        <f t="shared" si="15"/>
        <v>391.82573696704213</v>
      </c>
      <c r="I54" s="519">
        <f t="shared" si="15"/>
        <v>411.90425102642837</v>
      </c>
      <c r="J54" s="519">
        <f t="shared" si="15"/>
        <v>435.4325759862686</v>
      </c>
      <c r="K54" s="520">
        <f t="shared" si="15"/>
        <v>462.43365341106568</v>
      </c>
      <c r="L54" s="233"/>
      <c r="N54" s="211"/>
    </row>
    <row r="55" spans="2:14">
      <c r="B55" s="199" t="s">
        <v>343</v>
      </c>
      <c r="C55" s="265" t="s">
        <v>128</v>
      </c>
      <c r="D55" s="729">
        <f>SUM(D53:D54)</f>
        <v>889.90360058848717</v>
      </c>
      <c r="E55" s="730">
        <f t="shared" ref="E55:K55" si="16">SUM(E53:E54)</f>
        <v>941.14977910413279</v>
      </c>
      <c r="F55" s="730">
        <f t="shared" si="16"/>
        <v>999.32102334955914</v>
      </c>
      <c r="G55" s="730">
        <f t="shared" si="16"/>
        <v>1055.0355069727259</v>
      </c>
      <c r="H55" s="730">
        <f t="shared" si="16"/>
        <v>1119.5021056201203</v>
      </c>
      <c r="I55" s="730">
        <f t="shared" si="16"/>
        <v>1176.8692886469382</v>
      </c>
      <c r="J55" s="730">
        <f t="shared" si="16"/>
        <v>1244.0930742464818</v>
      </c>
      <c r="K55" s="731">
        <f t="shared" si="16"/>
        <v>1321.2390097459022</v>
      </c>
    </row>
    <row r="56" spans="2:14" s="31" customFormat="1">
      <c r="B56" s="199"/>
      <c r="C56" s="209"/>
      <c r="D56" s="209"/>
      <c r="E56" s="209"/>
      <c r="F56" s="209"/>
      <c r="G56" s="209"/>
      <c r="H56" s="209"/>
      <c r="I56" s="209"/>
      <c r="J56" s="209"/>
      <c r="K56" s="209"/>
      <c r="L56" s="233"/>
      <c r="N56" s="211"/>
    </row>
    <row r="57" spans="2:14" s="31" customFormat="1">
      <c r="B57" s="368" t="s">
        <v>342</v>
      </c>
      <c r="C57" s="265" t="s">
        <v>128</v>
      </c>
      <c r="D57" s="94">
        <f t="shared" ref="D57:K58" si="17">D$35*D49</f>
        <v>14.750152179754174</v>
      </c>
      <c r="E57" s="95">
        <f t="shared" si="17"/>
        <v>14.559587082740935</v>
      </c>
      <c r="F57" s="95">
        <f t="shared" si="17"/>
        <v>14.42020236693414</v>
      </c>
      <c r="G57" s="95">
        <f t="shared" si="17"/>
        <v>13.098265819066393</v>
      </c>
      <c r="H57" s="95">
        <f t="shared" si="17"/>
        <v>11.497286624718638</v>
      </c>
      <c r="I57" s="95">
        <f t="shared" si="17"/>
        <v>8.3381189100635584</v>
      </c>
      <c r="J57" s="95">
        <f t="shared" si="17"/>
        <v>6.2266858366036422</v>
      </c>
      <c r="K57" s="96">
        <f t="shared" si="17"/>
        <v>3.9505046391402474</v>
      </c>
      <c r="L57" s="233"/>
      <c r="N57" s="211"/>
    </row>
    <row r="58" spans="2:14">
      <c r="B58" s="368" t="s">
        <v>238</v>
      </c>
      <c r="C58" s="265" t="s">
        <v>128</v>
      </c>
      <c r="D58" s="732">
        <f t="shared" si="17"/>
        <v>19.933840653182113</v>
      </c>
      <c r="E58" s="733">
        <f t="shared" si="17"/>
        <v>21.081755051932575</v>
      </c>
      <c r="F58" s="733">
        <f t="shared" si="17"/>
        <v>22.384790923030124</v>
      </c>
      <c r="G58" s="733">
        <f t="shared" si="17"/>
        <v>23.632795356189057</v>
      </c>
      <c r="H58" s="733">
        <f t="shared" si="17"/>
        <v>25.076847165890698</v>
      </c>
      <c r="I58" s="733">
        <f t="shared" si="17"/>
        <v>26.361872065691418</v>
      </c>
      <c r="J58" s="733">
        <f t="shared" si="17"/>
        <v>27.867684863121188</v>
      </c>
      <c r="K58" s="734">
        <f t="shared" si="17"/>
        <v>29.595753818308204</v>
      </c>
    </row>
    <row r="59" spans="2:14">
      <c r="B59" s="199" t="s">
        <v>344</v>
      </c>
      <c r="C59" s="265" t="s">
        <v>128</v>
      </c>
      <c r="D59" s="101">
        <f t="shared" ref="D59:K59" si="18">SUM(D57:D58)</f>
        <v>34.683992832936283</v>
      </c>
      <c r="E59" s="102">
        <f t="shared" si="18"/>
        <v>35.641342134673508</v>
      </c>
      <c r="F59" s="102">
        <f t="shared" si="18"/>
        <v>36.804993289964266</v>
      </c>
      <c r="G59" s="102">
        <f t="shared" si="18"/>
        <v>36.731061175255448</v>
      </c>
      <c r="H59" s="102">
        <f t="shared" si="18"/>
        <v>36.574133790609338</v>
      </c>
      <c r="I59" s="102">
        <f t="shared" si="18"/>
        <v>34.699990975754979</v>
      </c>
      <c r="J59" s="102">
        <f t="shared" si="18"/>
        <v>34.094370699724827</v>
      </c>
      <c r="K59" s="103">
        <f t="shared" si="18"/>
        <v>33.546258457448452</v>
      </c>
    </row>
    <row r="60" spans="2:14">
      <c r="B60" s="14"/>
      <c r="C60" s="234"/>
      <c r="D60" s="234"/>
      <c r="E60" s="234"/>
      <c r="F60" s="234"/>
      <c r="G60" s="234"/>
      <c r="H60" s="234"/>
      <c r="I60" s="234"/>
      <c r="J60" s="234"/>
      <c r="K60" s="234"/>
    </row>
    <row r="61" spans="2:14">
      <c r="B61" s="14"/>
      <c r="C61" s="234"/>
      <c r="D61" s="234"/>
      <c r="E61" s="234"/>
      <c r="F61" s="234"/>
      <c r="G61" s="234"/>
      <c r="H61" s="234"/>
      <c r="I61" s="234"/>
      <c r="J61" s="234"/>
      <c r="K61" s="234"/>
    </row>
    <row r="62" spans="2:14">
      <c r="B62" s="14"/>
      <c r="C62" s="234"/>
      <c r="D62" s="234"/>
      <c r="E62" s="234"/>
      <c r="F62" s="234"/>
      <c r="G62" s="234"/>
      <c r="H62" s="234"/>
      <c r="I62" s="234"/>
      <c r="J62" s="234"/>
      <c r="K62" s="234"/>
    </row>
    <row r="63" spans="2:14">
      <c r="B63" s="14"/>
      <c r="C63" s="234"/>
      <c r="D63" s="234"/>
      <c r="E63" s="234"/>
      <c r="F63" s="234"/>
      <c r="G63" s="234"/>
      <c r="H63" s="234"/>
      <c r="I63" s="234"/>
      <c r="J63" s="234"/>
      <c r="K63" s="234"/>
    </row>
  </sheetData>
  <conditionalFormatting sqref="D6:K6">
    <cfRule type="expression" dxfId="31" priority="13">
      <formula>AND(D$5="Actuals",E$5="Forecast")</formula>
    </cfRule>
  </conditionalFormatting>
  <conditionalFormatting sqref="D5:K5">
    <cfRule type="expression" dxfId="30"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X90"/>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5" t="s">
        <v>261</v>
      </c>
      <c r="B1" s="911"/>
      <c r="C1" s="255"/>
      <c r="D1" s="255"/>
      <c r="E1" s="255"/>
      <c r="F1" s="255"/>
      <c r="G1" s="255"/>
      <c r="H1" s="255"/>
      <c r="I1" s="256"/>
      <c r="J1" s="256"/>
      <c r="K1" s="257"/>
      <c r="L1" s="258"/>
    </row>
    <row r="2" spans="1:13" s="31" customFormat="1" ht="21">
      <c r="A2" s="904" t="str">
        <f>'RFPR cover'!C5</f>
        <v>WPD-SWALES</v>
      </c>
      <c r="B2" s="896"/>
      <c r="C2" s="29"/>
      <c r="D2" s="29"/>
      <c r="E2" s="29"/>
      <c r="F2" s="29"/>
      <c r="G2" s="29"/>
      <c r="H2" s="29"/>
      <c r="I2" s="27"/>
      <c r="J2" s="27"/>
      <c r="K2" s="27"/>
      <c r="L2" s="122"/>
    </row>
    <row r="3" spans="1:13" s="31" customFormat="1" ht="21">
      <c r="A3" s="907">
        <f>'RFPR cover'!C7</f>
        <v>2020</v>
      </c>
      <c r="B3" s="914"/>
      <c r="C3" s="259"/>
      <c r="D3" s="259"/>
      <c r="E3" s="259"/>
      <c r="F3" s="259"/>
      <c r="G3" s="259"/>
      <c r="H3" s="259"/>
      <c r="I3" s="254"/>
      <c r="J3" s="254"/>
      <c r="K3" s="254"/>
      <c r="L3" s="260"/>
    </row>
    <row r="4" spans="1:13" s="31" customFormat="1" ht="12.75" customHeight="1">
      <c r="A4" s="261"/>
      <c r="B4" s="262"/>
      <c r="C4" s="261"/>
      <c r="D4" s="261"/>
      <c r="E4" s="261"/>
      <c r="F4" s="261"/>
      <c r="G4" s="261"/>
      <c r="H4" s="261"/>
      <c r="I4" s="263"/>
      <c r="J4" s="263"/>
      <c r="K4" s="263"/>
      <c r="L4" s="264"/>
      <c r="M4" s="262"/>
    </row>
    <row r="5" spans="1:13" s="2" customFormat="1">
      <c r="B5" s="3"/>
      <c r="C5" s="3"/>
      <c r="D5" s="386" t="str">
        <f>IF(D6&lt;=('RFPR cover'!$C$7-1),"Actuals","Forecast")</f>
        <v>Actuals</v>
      </c>
      <c r="E5" s="386" t="str">
        <f>IF(E6&lt;=('RFPR cover'!$C$7-1),"Actuals","Forecast")</f>
        <v>Actuals</v>
      </c>
      <c r="F5" s="386" t="str">
        <f>IF(F6&lt;=('RFPR cover'!$C$7-1),"Actuals","Forecast")</f>
        <v>Actuals</v>
      </c>
      <c r="G5" s="386" t="str">
        <f>IF(G6&lt;=('RFPR cover'!$C$7-1),"Actuals","Forecast")</f>
        <v>Actuals</v>
      </c>
      <c r="H5" s="386" t="str">
        <f>IF(H6&lt;=('RFPR cover'!$C$7-1),"Actuals","Forecast")</f>
        <v>Forecast</v>
      </c>
      <c r="I5" s="386" t="str">
        <f>IF(I6&lt;=('RFPR cover'!$C$7-1),"Actuals","Forecast")</f>
        <v>Forecast</v>
      </c>
      <c r="J5" s="386" t="str">
        <f>IF(J6&lt;=('RFPR cover'!$C$7-1),"Actuals","Forecast")</f>
        <v>Forecast</v>
      </c>
      <c r="K5" s="386" t="str">
        <f>IF(K6&lt;=('RFPR cover'!$C$7-1),"Actuals","Forecast")</f>
        <v>Forecast</v>
      </c>
    </row>
    <row r="6" spans="1:13"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3" s="35" customFormat="1">
      <c r="D7" s="426"/>
      <c r="E7" s="426"/>
      <c r="F7" s="426"/>
      <c r="G7" s="426"/>
      <c r="H7" s="426"/>
      <c r="I7" s="426"/>
      <c r="J7" s="426"/>
      <c r="K7" s="426"/>
    </row>
    <row r="8" spans="1:13" s="2" customFormat="1">
      <c r="B8" s="365" t="s">
        <v>364</v>
      </c>
      <c r="C8" s="291"/>
      <c r="D8" s="291"/>
      <c r="E8" s="291"/>
      <c r="F8" s="291"/>
      <c r="G8" s="291"/>
      <c r="H8" s="291"/>
      <c r="I8" s="291"/>
      <c r="J8" s="291"/>
      <c r="K8" s="291"/>
      <c r="L8" s="291"/>
    </row>
    <row r="9" spans="1:13" s="2" customFormat="1">
      <c r="B9" s="365" t="s">
        <v>469</v>
      </c>
      <c r="C9" s="291"/>
      <c r="D9" s="291"/>
      <c r="E9" s="291"/>
      <c r="F9" s="291"/>
      <c r="G9" s="291"/>
      <c r="H9" s="291"/>
      <c r="I9" s="291"/>
      <c r="J9" s="291"/>
      <c r="K9" s="291"/>
      <c r="L9" s="291"/>
    </row>
    <row r="10" spans="1:13" s="2" customFormat="1">
      <c r="B10" s="365" t="s">
        <v>365</v>
      </c>
      <c r="C10" s="291"/>
      <c r="D10" s="291"/>
      <c r="E10" s="291"/>
      <c r="F10" s="291"/>
      <c r="G10" s="291"/>
      <c r="H10" s="291"/>
      <c r="I10" s="291"/>
      <c r="J10" s="291"/>
      <c r="K10" s="291"/>
      <c r="L10" s="291"/>
    </row>
    <row r="11" spans="1:13" s="35" customFormat="1">
      <c r="B11" s="425"/>
    </row>
    <row r="12" spans="1:13">
      <c r="B12" s="198" t="s">
        <v>532</v>
      </c>
      <c r="C12" s="265" t="s">
        <v>128</v>
      </c>
      <c r="D12" s="635">
        <v>1.0509999999999906</v>
      </c>
      <c r="E12" s="635">
        <v>0</v>
      </c>
      <c r="F12" s="635">
        <v>14.031690000000003</v>
      </c>
      <c r="G12" s="635">
        <v>8.172089999999999</v>
      </c>
      <c r="H12" s="636"/>
      <c r="I12" s="636"/>
      <c r="J12" s="636"/>
      <c r="K12" s="637"/>
    </row>
    <row r="13" spans="1:13">
      <c r="B13" s="14"/>
      <c r="C13" s="14"/>
      <c r="D13" s="735"/>
      <c r="E13" s="735"/>
      <c r="F13" s="735"/>
      <c r="G13" s="735"/>
      <c r="H13" s="735"/>
      <c r="I13" s="735"/>
      <c r="J13" s="735"/>
      <c r="K13" s="735"/>
    </row>
    <row r="14" spans="1:13">
      <c r="B14" s="14" t="s">
        <v>468</v>
      </c>
      <c r="C14" s="265"/>
      <c r="D14" s="735"/>
      <c r="E14" s="735"/>
      <c r="F14" s="735"/>
      <c r="G14" s="735"/>
      <c r="H14" s="735"/>
      <c r="I14" s="735"/>
      <c r="J14" s="735"/>
      <c r="K14" s="735"/>
    </row>
    <row r="15" spans="1:13">
      <c r="B15" s="366" t="s">
        <v>490</v>
      </c>
      <c r="C15" s="265" t="s">
        <v>128</v>
      </c>
      <c r="D15" s="635"/>
      <c r="E15" s="592"/>
      <c r="F15" s="592"/>
      <c r="G15" s="592"/>
      <c r="H15" s="592"/>
      <c r="I15" s="592"/>
      <c r="J15" s="592"/>
      <c r="K15" s="602"/>
    </row>
    <row r="16" spans="1:13">
      <c r="B16" s="427" t="s">
        <v>629</v>
      </c>
      <c r="C16" s="265" t="s">
        <v>128</v>
      </c>
      <c r="D16" s="635">
        <v>0.25949126993339966</v>
      </c>
      <c r="E16" s="635">
        <v>0.23444121365650045</v>
      </c>
      <c r="F16" s="635">
        <v>0.18499417522007722</v>
      </c>
      <c r="G16" s="635">
        <v>0.17349246421249534</v>
      </c>
      <c r="H16" s="592"/>
      <c r="I16" s="592"/>
      <c r="J16" s="592"/>
      <c r="K16" s="602"/>
    </row>
    <row r="17" spans="2:12">
      <c r="B17" s="427" t="s">
        <v>630</v>
      </c>
      <c r="C17" s="265" t="s">
        <v>128</v>
      </c>
      <c r="D17" s="635">
        <v>-0.20580822806639709</v>
      </c>
      <c r="E17" s="635">
        <v>-0.11053038460974707</v>
      </c>
      <c r="F17" s="635">
        <v>-0.23786950614577179</v>
      </c>
      <c r="G17" s="635">
        <v>-0.25121032272957067</v>
      </c>
      <c r="H17" s="592"/>
      <c r="I17" s="592"/>
      <c r="J17" s="592"/>
      <c r="K17" s="602"/>
    </row>
    <row r="18" spans="2:12">
      <c r="B18" s="427" t="s">
        <v>142</v>
      </c>
      <c r="C18" s="265" t="s">
        <v>128</v>
      </c>
      <c r="D18" s="635">
        <v>-2.112458170800087E-2</v>
      </c>
      <c r="E18" s="635">
        <v>-2.5728692625986718E-2</v>
      </c>
      <c r="F18" s="635">
        <v>8.5499096849420947E-2</v>
      </c>
      <c r="G18" s="635">
        <v>-6.9458417141788298E-2</v>
      </c>
      <c r="H18" s="592"/>
      <c r="I18" s="592"/>
      <c r="J18" s="592"/>
      <c r="K18" s="602"/>
    </row>
    <row r="19" spans="2:12">
      <c r="B19" s="267" t="s">
        <v>366</v>
      </c>
      <c r="C19" s="265" t="s">
        <v>128</v>
      </c>
      <c r="D19" s="736">
        <f>SUM(D15:D18)</f>
        <v>3.2558460159001698E-2</v>
      </c>
      <c r="E19" s="737">
        <f t="shared" ref="E19:K19" si="1">SUM(E15:E18)</f>
        <v>9.8182136420766661E-2</v>
      </c>
      <c r="F19" s="737">
        <f t="shared" si="1"/>
        <v>3.2623765923726372E-2</v>
      </c>
      <c r="G19" s="737">
        <f t="shared" si="1"/>
        <v>-0.14717627565886363</v>
      </c>
      <c r="H19" s="737">
        <f t="shared" si="1"/>
        <v>0</v>
      </c>
      <c r="I19" s="737">
        <f t="shared" si="1"/>
        <v>0</v>
      </c>
      <c r="J19" s="737">
        <f t="shared" si="1"/>
        <v>0</v>
      </c>
      <c r="K19" s="738">
        <f t="shared" si="1"/>
        <v>0</v>
      </c>
    </row>
    <row r="20" spans="2:12" s="31" customFormat="1">
      <c r="B20" s="366"/>
      <c r="C20" s="366"/>
      <c r="D20" s="739"/>
      <c r="E20" s="739"/>
      <c r="F20" s="739"/>
      <c r="G20" s="739"/>
      <c r="H20" s="739"/>
      <c r="I20" s="739"/>
      <c r="J20" s="739"/>
      <c r="K20" s="739"/>
      <c r="L20" s="366"/>
    </row>
    <row r="21" spans="2:12">
      <c r="B21" s="14" t="s">
        <v>333</v>
      </c>
      <c r="C21" s="265"/>
      <c r="D21" s="740"/>
      <c r="E21" s="740"/>
      <c r="F21" s="740"/>
      <c r="G21" s="740"/>
      <c r="H21" s="740"/>
      <c r="I21" s="740"/>
      <c r="J21" s="740"/>
      <c r="K21" s="740"/>
      <c r="L21" s="265"/>
    </row>
    <row r="22" spans="2:12">
      <c r="B22" s="366" t="s">
        <v>491</v>
      </c>
      <c r="C22" s="265" t="s">
        <v>128</v>
      </c>
      <c r="D22" s="851">
        <f>('R5 - Output Incentives'!D102)*INDEX(Data!$G$14:$G$30,MATCH('R10 - Tax'!D$6,Data!$C$14:$C$30,0),1)</f>
        <v>1.2753731118599998</v>
      </c>
      <c r="E22" s="852">
        <f>('R5 - Output Incentives'!E102)*INDEX(Data!$G$14:$G$30,MATCH('R10 - Tax'!E$6,Data!$C$14:$C$30,0),1)</f>
        <v>1.2764827392158873</v>
      </c>
      <c r="F22" s="852">
        <f>('R5 - Output Incentives'!F102)*INDEX(Data!$G$14:$G$30,MATCH('R10 - Tax'!F$6,Data!$C$14:$C$30,0),1)</f>
        <v>1.612929441867393</v>
      </c>
      <c r="G22" s="852">
        <f>('R5 - Output Incentives'!G102)*INDEX(Data!$G$14:$G$30,MATCH('R10 - Tax'!G$6,Data!$C$14:$C$30,0),1)</f>
        <v>1.7544266047794728</v>
      </c>
      <c r="H22" s="854">
        <f>('R5 - Output Incentives'!H102)*INDEX(Data!$G$14:$G$30,MATCH('R10 - Tax'!H$6,Data!$C$14:$C$30,0),1)</f>
        <v>1.358181341057449</v>
      </c>
      <c r="I22" s="854">
        <f>('R5 - Output Incentives'!I102)*INDEX(Data!$G$14:$G$30,MATCH('R10 - Tax'!I$6,Data!$C$14:$C$30,0),1)</f>
        <v>1.952815375985713</v>
      </c>
      <c r="J22" s="854">
        <f>('R5 - Output Incentives'!J102)*INDEX(Data!$G$14:$G$30,MATCH('R10 - Tax'!J$6,Data!$C$14:$C$30,0),1)</f>
        <v>1.9499701907924476</v>
      </c>
      <c r="K22" s="855">
        <f>('R5 - Output Incentives'!K102)*INDEX(Data!$G$14:$G$30,MATCH('R10 - Tax'!K$6,Data!$C$14:$C$30,0),1)</f>
        <v>1.7135507261201857</v>
      </c>
    </row>
    <row r="23" spans="2:12">
      <c r="B23" s="366" t="s">
        <v>492</v>
      </c>
      <c r="C23" s="265" t="s">
        <v>128</v>
      </c>
      <c r="D23" s="595">
        <f>('R4 - Totex'!D77-'R4 - Totex'!D79)*D40</f>
        <v>0.77961142752221713</v>
      </c>
      <c r="E23" s="597">
        <f>('R4 - Totex'!E77-'R4 - Totex'!E79)*E40</f>
        <v>0.79599623948432419</v>
      </c>
      <c r="F23" s="597">
        <f>('R4 - Totex'!F77-'R4 - Totex'!F79)*F40</f>
        <v>0.74713861209906762</v>
      </c>
      <c r="G23" s="597">
        <f>('R4 - Totex'!G77-'R4 - Totex'!G79)*G40</f>
        <v>0.81943112472246948</v>
      </c>
      <c r="H23" s="856">
        <f>('R4 - Totex'!H77-'R4 - Totex'!H79)*H40</f>
        <v>0.77011137857705703</v>
      </c>
      <c r="I23" s="856">
        <f>('R4 - Totex'!I77-'R4 - Totex'!I79)*I40</f>
        <v>0.78505104034984707</v>
      </c>
      <c r="J23" s="856">
        <f>('R4 - Totex'!J77-'R4 - Totex'!J79)*J40</f>
        <v>0.77480694101460867</v>
      </c>
      <c r="K23" s="857">
        <f>('R4 - Totex'!K77-'R4 - Totex'!K79)*K40</f>
        <v>0.80869772455496658</v>
      </c>
    </row>
    <row r="24" spans="2:12">
      <c r="B24" s="366" t="s">
        <v>493</v>
      </c>
      <c r="C24" s="265" t="s">
        <v>128</v>
      </c>
      <c r="D24" s="593">
        <v>-0.64702315347356731</v>
      </c>
      <c r="E24" s="593">
        <v>2.5913933053192895</v>
      </c>
      <c r="F24" s="593">
        <v>-0.44480754548425061</v>
      </c>
      <c r="G24" s="593">
        <v>-1.3213458163392033E-2</v>
      </c>
      <c r="H24" s="594"/>
      <c r="I24" s="594"/>
      <c r="J24" s="594"/>
      <c r="K24" s="603"/>
    </row>
    <row r="25" spans="2:12">
      <c r="B25" s="366" t="s">
        <v>494</v>
      </c>
      <c r="C25" s="265" t="s">
        <v>128</v>
      </c>
      <c r="D25" s="593"/>
      <c r="E25" s="594"/>
      <c r="F25" s="594"/>
      <c r="G25" s="594"/>
      <c r="H25" s="594"/>
      <c r="I25" s="594"/>
      <c r="J25" s="594"/>
      <c r="K25" s="603"/>
    </row>
    <row r="26" spans="2:12">
      <c r="B26" s="366" t="s">
        <v>495</v>
      </c>
      <c r="C26" s="265" t="s">
        <v>128</v>
      </c>
      <c r="D26" s="593"/>
      <c r="E26" s="594"/>
      <c r="F26" s="594"/>
      <c r="G26" s="594"/>
      <c r="H26" s="594"/>
      <c r="I26" s="594"/>
      <c r="J26" s="594"/>
      <c r="K26" s="603"/>
    </row>
    <row r="27" spans="2:12">
      <c r="B27" s="366" t="s">
        <v>496</v>
      </c>
      <c r="C27" s="265" t="s">
        <v>128</v>
      </c>
      <c r="D27" s="593"/>
      <c r="E27" s="594"/>
      <c r="F27" s="594"/>
      <c r="G27" s="594"/>
      <c r="H27" s="594"/>
      <c r="I27" s="594"/>
      <c r="J27" s="594"/>
      <c r="K27" s="603"/>
    </row>
    <row r="28" spans="2:12">
      <c r="B28" s="366" t="s">
        <v>573</v>
      </c>
      <c r="C28" s="265" t="s">
        <v>128</v>
      </c>
      <c r="D28" s="593">
        <v>0.14549706213918154</v>
      </c>
      <c r="E28" s="593">
        <v>0.52363589678193767</v>
      </c>
      <c r="F28" s="593">
        <v>-0.62299278713826878</v>
      </c>
      <c r="G28" s="593">
        <v>-0.18349442534761384</v>
      </c>
      <c r="H28" s="594"/>
      <c r="I28" s="594"/>
      <c r="J28" s="594"/>
      <c r="K28" s="603"/>
    </row>
    <row r="29" spans="2:12">
      <c r="B29" s="427" t="s">
        <v>624</v>
      </c>
      <c r="C29" s="265" t="s">
        <v>128</v>
      </c>
      <c r="D29" s="593">
        <v>0.98235928431807773</v>
      </c>
      <c r="E29" s="593">
        <v>0.18575657194004525</v>
      </c>
      <c r="F29" s="593">
        <v>-1.0496927430525924</v>
      </c>
      <c r="G29" s="593">
        <v>-0.12668366770034492</v>
      </c>
      <c r="H29" s="594"/>
      <c r="I29" s="594"/>
      <c r="J29" s="594"/>
      <c r="K29" s="603"/>
    </row>
    <row r="30" spans="2:12">
      <c r="B30" s="427" t="s">
        <v>388</v>
      </c>
      <c r="C30" s="265" t="s">
        <v>128</v>
      </c>
      <c r="D30" s="593">
        <v>-0.75102663023141347</v>
      </c>
      <c r="E30" s="593">
        <v>-0.32637606760260174</v>
      </c>
      <c r="F30" s="593">
        <v>2.1854709914832213</v>
      </c>
      <c r="G30" s="593">
        <v>1.8161680225450221</v>
      </c>
      <c r="H30" s="594"/>
      <c r="I30" s="594"/>
      <c r="J30" s="594"/>
      <c r="K30" s="603"/>
    </row>
    <row r="31" spans="2:12">
      <c r="B31" s="427" t="s">
        <v>584</v>
      </c>
      <c r="C31" s="265" t="s">
        <v>128</v>
      </c>
      <c r="D31" s="593">
        <v>-1.3035014562035974</v>
      </c>
      <c r="E31" s="593">
        <v>-0.27391003612070292</v>
      </c>
      <c r="F31" s="593">
        <v>0</v>
      </c>
      <c r="G31" s="593">
        <v>0</v>
      </c>
      <c r="H31" s="594"/>
      <c r="I31" s="594"/>
      <c r="J31" s="594"/>
      <c r="K31" s="603"/>
    </row>
    <row r="32" spans="2:12">
      <c r="B32" s="427" t="s">
        <v>625</v>
      </c>
      <c r="C32" s="265" t="s">
        <v>128</v>
      </c>
      <c r="D32" s="593">
        <v>0.30565148622959326</v>
      </c>
      <c r="E32" s="593">
        <v>0.32322096248467325</v>
      </c>
      <c r="F32" s="593">
        <v>0.33350953233991443</v>
      </c>
      <c r="G32" s="593">
        <v>0.36355677584718882</v>
      </c>
      <c r="H32" s="594"/>
      <c r="I32" s="594"/>
      <c r="J32" s="594"/>
      <c r="K32" s="603"/>
    </row>
    <row r="33" spans="2:13">
      <c r="B33" s="427" t="s">
        <v>626</v>
      </c>
      <c r="C33" s="265" t="s">
        <v>128</v>
      </c>
      <c r="D33" s="604">
        <v>-2.2535368900649173</v>
      </c>
      <c r="E33" s="604">
        <v>-1.8085391754231883</v>
      </c>
      <c r="F33" s="604">
        <v>-0.1362921223321287</v>
      </c>
      <c r="G33" s="604">
        <v>-0.2414385893576918</v>
      </c>
      <c r="H33" s="605"/>
      <c r="I33" s="605"/>
      <c r="J33" s="605"/>
      <c r="K33" s="606"/>
    </row>
    <row r="34" spans="2:13">
      <c r="B34" s="427" t="s">
        <v>627</v>
      </c>
      <c r="C34" s="265" t="s">
        <v>128</v>
      </c>
      <c r="D34" s="604">
        <v>0</v>
      </c>
      <c r="E34" s="604">
        <v>-1.4158875682568215</v>
      </c>
      <c r="F34" s="604">
        <v>6.1337646763596991</v>
      </c>
      <c r="G34" s="604">
        <v>0.94140421092140614</v>
      </c>
      <c r="H34" s="605"/>
      <c r="I34" s="605"/>
      <c r="J34" s="605"/>
      <c r="K34" s="606"/>
    </row>
    <row r="35" spans="2:13">
      <c r="B35" s="14" t="s">
        <v>177</v>
      </c>
      <c r="C35" s="265" t="s">
        <v>128</v>
      </c>
      <c r="D35" s="741">
        <f t="shared" ref="D35:K35" si="2">SUM(D22:D34)</f>
        <v>-1.4665957579044258</v>
      </c>
      <c r="E35" s="742">
        <f t="shared" si="2"/>
        <v>1.8717728678228431</v>
      </c>
      <c r="F35" s="742">
        <f t="shared" si="2"/>
        <v>8.7590280561420553</v>
      </c>
      <c r="G35" s="742">
        <f t="shared" si="2"/>
        <v>5.1301565982465167</v>
      </c>
      <c r="H35" s="742">
        <f t="shared" si="2"/>
        <v>2.1282927196345058</v>
      </c>
      <c r="I35" s="742">
        <f t="shared" si="2"/>
        <v>2.7378664163355602</v>
      </c>
      <c r="J35" s="742">
        <f t="shared" si="2"/>
        <v>2.7247771318070564</v>
      </c>
      <c r="K35" s="743">
        <f t="shared" si="2"/>
        <v>2.5222484506751521</v>
      </c>
    </row>
    <row r="37" spans="2:13" ht="12.75" customHeight="1">
      <c r="B37" s="818" t="s">
        <v>503</v>
      </c>
      <c r="C37" s="265" t="s">
        <v>128</v>
      </c>
      <c r="D37" s="635"/>
      <c r="E37" s="635"/>
      <c r="F37" s="636"/>
      <c r="G37" s="636"/>
      <c r="H37" s="955">
        <v>7.365883508870791</v>
      </c>
      <c r="I37" s="636">
        <v>13.980170387494704</v>
      </c>
      <c r="J37" s="955">
        <v>17.451788229396218</v>
      </c>
      <c r="K37" s="636">
        <v>16.827534480079983</v>
      </c>
    </row>
    <row r="38" spans="2:13" ht="12.75" customHeight="1">
      <c r="B38" s="818" t="s">
        <v>472</v>
      </c>
      <c r="C38" s="265" t="s">
        <v>128</v>
      </c>
      <c r="D38" s="741">
        <f t="shared" ref="D38:K38" si="3">D12+D37-D19-D35</f>
        <v>2.4850372977454147</v>
      </c>
      <c r="E38" s="742">
        <f>E12+G37-E19-E35</f>
        <v>-1.9699550042436098</v>
      </c>
      <c r="F38" s="742">
        <f>F12+F37-F19-F35</f>
        <v>5.2400381779342204</v>
      </c>
      <c r="G38" s="742">
        <f>G12+G37-G19-G35</f>
        <v>3.1891096774123451</v>
      </c>
      <c r="H38" s="742">
        <f t="shared" si="3"/>
        <v>5.2375907892362852</v>
      </c>
      <c r="I38" s="742">
        <f t="shared" si="3"/>
        <v>11.242303971159144</v>
      </c>
      <c r="J38" s="742">
        <f t="shared" si="3"/>
        <v>14.727011097589163</v>
      </c>
      <c r="K38" s="743">
        <f t="shared" si="3"/>
        <v>14.305286029404831</v>
      </c>
    </row>
    <row r="39" spans="2:13" ht="12.75" customHeight="1">
      <c r="B39" s="478"/>
      <c r="C39" s="265"/>
      <c r="D39" s="265"/>
      <c r="E39" s="265"/>
      <c r="F39" s="265"/>
      <c r="G39" s="265"/>
      <c r="H39" s="265"/>
      <c r="I39" s="265"/>
      <c r="J39" s="265"/>
      <c r="K39" s="265"/>
    </row>
    <row r="40" spans="2:13">
      <c r="B40" s="37" t="s">
        <v>480</v>
      </c>
      <c r="C40" s="266" t="s">
        <v>127</v>
      </c>
      <c r="D40" s="111">
        <f>Data!C$34</f>
        <v>1.0603167467048125</v>
      </c>
      <c r="E40" s="111">
        <f>Data!D$34</f>
        <v>1.0830366813119445</v>
      </c>
      <c r="F40" s="111">
        <f>Data!E$34</f>
        <v>1.1235639113109226</v>
      </c>
      <c r="G40" s="111">
        <f>Data!F$34</f>
        <v>1.1578951670583426</v>
      </c>
      <c r="H40" s="111">
        <f>Data!G$34</f>
        <v>1.1878696229692449</v>
      </c>
      <c r="I40" s="111">
        <f>Data!H$34</f>
        <v>1.2080634065597218</v>
      </c>
      <c r="J40" s="111">
        <f>Data!I$34</f>
        <v>1.2337347539491161</v>
      </c>
      <c r="K40" s="111">
        <f>Data!J$34</f>
        <v>1.2655034238633056</v>
      </c>
      <c r="L40" s="265"/>
    </row>
    <row r="41" spans="2:13">
      <c r="B41" s="198"/>
      <c r="C41" s="265"/>
      <c r="D41" s="265"/>
      <c r="E41" s="265"/>
      <c r="F41" s="265"/>
      <c r="G41" s="265"/>
      <c r="H41" s="265"/>
      <c r="I41" s="265"/>
      <c r="J41" s="265"/>
      <c r="K41" s="265"/>
    </row>
    <row r="42" spans="2:13">
      <c r="B42" s="540" t="s">
        <v>473</v>
      </c>
      <c r="C42" s="393" t="str">
        <f>'RFPR cover'!$C$14</f>
        <v>£m 12/13</v>
      </c>
      <c r="D42" s="783">
        <f t="shared" ref="D42:K42" si="4">D38/D40</f>
        <v>2.3436744779031939</v>
      </c>
      <c r="E42" s="784">
        <f t="shared" si="4"/>
        <v>-1.8189180830489418</v>
      </c>
      <c r="F42" s="784">
        <f t="shared" si="4"/>
        <v>4.6637651184616509</v>
      </c>
      <c r="G42" s="784">
        <f t="shared" si="4"/>
        <v>2.7542300617026898</v>
      </c>
      <c r="H42" s="784">
        <f t="shared" si="4"/>
        <v>4.4092303464619294</v>
      </c>
      <c r="I42" s="784">
        <f t="shared" si="4"/>
        <v>9.3060545581581362</v>
      </c>
      <c r="J42" s="784">
        <f t="shared" si="4"/>
        <v>11.936934621034887</v>
      </c>
      <c r="K42" s="785">
        <f t="shared" si="4"/>
        <v>11.304027914625404</v>
      </c>
    </row>
    <row r="43" spans="2:13">
      <c r="B43" s="818"/>
      <c r="C43" s="818"/>
      <c r="D43" s="818"/>
      <c r="E43" s="818"/>
      <c r="F43" s="818"/>
      <c r="G43" s="818"/>
      <c r="H43" s="818"/>
      <c r="I43" s="818"/>
      <c r="J43" s="818"/>
      <c r="K43" s="818"/>
    </row>
    <row r="44" spans="2:13">
      <c r="B44" s="826" t="s">
        <v>453</v>
      </c>
      <c r="C44" s="209"/>
      <c r="D44" s="209"/>
      <c r="E44" s="209"/>
      <c r="F44" s="209"/>
      <c r="G44" s="209"/>
      <c r="H44" s="209"/>
      <c r="I44" s="209"/>
      <c r="J44" s="209"/>
      <c r="K44" s="209"/>
    </row>
    <row r="45" spans="2:13">
      <c r="B45" s="365" t="s">
        <v>441</v>
      </c>
      <c r="C45" s="428"/>
      <c r="D45" s="428"/>
      <c r="E45" s="428"/>
      <c r="F45" s="428"/>
      <c r="G45" s="428"/>
      <c r="H45" s="428"/>
      <c r="I45" s="428"/>
      <c r="J45" s="428"/>
      <c r="K45" s="428"/>
      <c r="L45" s="428"/>
      <c r="M45" s="428"/>
    </row>
    <row r="47" spans="2:13" ht="12.75" customHeight="1">
      <c r="B47" s="212" t="s">
        <v>115</v>
      </c>
      <c r="C47" s="154" t="s">
        <v>7</v>
      </c>
      <c r="D47" s="885">
        <f>'RFPR cover'!$C$12</f>
        <v>0.65</v>
      </c>
      <c r="E47" s="886">
        <f>'RFPR cover'!$C$12</f>
        <v>0.65</v>
      </c>
      <c r="F47" s="886">
        <f>'RFPR cover'!$C$12</f>
        <v>0.65</v>
      </c>
      <c r="G47" s="886">
        <f>'RFPR cover'!$C$12</f>
        <v>0.65</v>
      </c>
      <c r="H47" s="886">
        <f>'RFPR cover'!$C$12</f>
        <v>0.65</v>
      </c>
      <c r="I47" s="886">
        <f>'RFPR cover'!$C$12</f>
        <v>0.65</v>
      </c>
      <c r="J47" s="886">
        <f>'RFPR cover'!$C$12</f>
        <v>0.65</v>
      </c>
      <c r="K47" s="887">
        <f>'RFPR cover'!$C$12</f>
        <v>0.65</v>
      </c>
    </row>
    <row r="48" spans="2:13" ht="12.75" customHeight="1">
      <c r="B48" s="212" t="s">
        <v>403</v>
      </c>
      <c r="C48" s="154" t="s">
        <v>7</v>
      </c>
      <c r="D48" s="885">
        <f>'R8 - Net Debt'!D57</f>
        <v>0.63351205661484777</v>
      </c>
      <c r="E48" s="886">
        <f>'R8 - Net Debt'!E57</f>
        <v>0.62702950783278666</v>
      </c>
      <c r="F48" s="886">
        <f>'R8 - Net Debt'!F57</f>
        <v>0.60494869056263623</v>
      </c>
      <c r="G48" s="886">
        <f>'R8 - Net Debt'!G57</f>
        <v>0.59657549309067348</v>
      </c>
      <c r="H48" s="886">
        <f>'R8 - Net Debt'!H57</f>
        <v>0.58009509394364733</v>
      </c>
      <c r="I48" s="886">
        <f>'R8 - Net Debt'!I57</f>
        <v>0.59238574303707814</v>
      </c>
      <c r="J48" s="886">
        <f>'R8 - Net Debt'!J57</f>
        <v>0.60361045426458082</v>
      </c>
      <c r="K48" s="887">
        <f>'R8 - Net Debt'!K57</f>
        <v>0.57592446151952748</v>
      </c>
    </row>
    <row r="49" spans="2:21" ht="12.75" customHeight="1">
      <c r="B49" s="212"/>
      <c r="C49" s="154"/>
      <c r="D49" s="154"/>
      <c r="E49" s="154"/>
      <c r="F49" s="154"/>
      <c r="G49" s="154"/>
      <c r="H49" s="154"/>
      <c r="I49" s="154"/>
      <c r="J49" s="154"/>
      <c r="K49" s="154"/>
      <c r="L49" s="154"/>
    </row>
    <row r="50" spans="2:21" ht="12.75" customHeight="1">
      <c r="B50" s="818" t="s">
        <v>473</v>
      </c>
      <c r="C50" s="265" t="s">
        <v>128</v>
      </c>
      <c r="D50" s="783">
        <f>D38</f>
        <v>2.4850372977454147</v>
      </c>
      <c r="E50" s="783">
        <f t="shared" ref="E50:K50" si="5">E38</f>
        <v>-1.9699550042436098</v>
      </c>
      <c r="F50" s="783">
        <f t="shared" si="5"/>
        <v>5.2400381779342204</v>
      </c>
      <c r="G50" s="783">
        <f t="shared" si="5"/>
        <v>3.1891096774123451</v>
      </c>
      <c r="H50" s="783">
        <f t="shared" si="5"/>
        <v>5.2375907892362852</v>
      </c>
      <c r="I50" s="783">
        <f t="shared" si="5"/>
        <v>11.242303971159144</v>
      </c>
      <c r="J50" s="783">
        <f t="shared" si="5"/>
        <v>14.727011097589163</v>
      </c>
      <c r="K50" s="783">
        <f t="shared" si="5"/>
        <v>14.305286029404831</v>
      </c>
    </row>
    <row r="51" spans="2:21">
      <c r="B51" s="212" t="s">
        <v>454</v>
      </c>
      <c r="C51" s="265" t="s">
        <v>128</v>
      </c>
      <c r="D51" s="783">
        <f>D86-D88</f>
        <v>-0.15648663993397927</v>
      </c>
      <c r="E51" s="783">
        <f t="shared" ref="E51:K51" si="6">E86-E88</f>
        <v>-0.16927986172633758</v>
      </c>
      <c r="F51" s="783">
        <f t="shared" si="6"/>
        <v>-0.20692011951140085</v>
      </c>
      <c r="G51" s="783">
        <f t="shared" si="6"/>
        <v>-0.30528213226775391</v>
      </c>
      <c r="H51" s="783">
        <f t="shared" si="6"/>
        <v>-0.49265934082623164</v>
      </c>
      <c r="I51" s="783">
        <f t="shared" si="6"/>
        <v>-0.51209317162688661</v>
      </c>
      <c r="J51" s="783">
        <f t="shared" si="6"/>
        <v>-0.22180651994106859</v>
      </c>
      <c r="K51" s="783">
        <f t="shared" si="6"/>
        <v>-0.29388449628032598</v>
      </c>
      <c r="L51" s="265"/>
    </row>
    <row r="52" spans="2:21" s="31" customFormat="1">
      <c r="B52" s="827" t="s">
        <v>411</v>
      </c>
      <c r="C52" s="265" t="s">
        <v>128</v>
      </c>
      <c r="D52" s="741">
        <f>SUM(D50:D51)</f>
        <v>2.3285506578114354</v>
      </c>
      <c r="E52" s="742">
        <f t="shared" ref="E52:K52" si="7">SUM(E50:E51)</f>
        <v>-2.1392348659699474</v>
      </c>
      <c r="F52" s="742">
        <f t="shared" si="7"/>
        <v>5.0331180584228195</v>
      </c>
      <c r="G52" s="742">
        <f t="shared" si="7"/>
        <v>2.8838275451445909</v>
      </c>
      <c r="H52" s="742">
        <f t="shared" si="7"/>
        <v>4.7449314484100533</v>
      </c>
      <c r="I52" s="742">
        <f t="shared" si="7"/>
        <v>10.730210799532257</v>
      </c>
      <c r="J52" s="742">
        <f t="shared" si="7"/>
        <v>14.505204577648094</v>
      </c>
      <c r="K52" s="743">
        <f t="shared" si="7"/>
        <v>14.011401533124506</v>
      </c>
      <c r="L52" s="803"/>
      <c r="N52"/>
      <c r="O52"/>
      <c r="P52"/>
      <c r="Q52"/>
      <c r="R52"/>
      <c r="S52"/>
      <c r="T52"/>
      <c r="U52"/>
    </row>
    <row r="54" spans="2:21">
      <c r="B54" s="827" t="s">
        <v>411</v>
      </c>
      <c r="C54" s="393" t="str">
        <f>'RFPR cover'!$C$14</f>
        <v>£m 12/13</v>
      </c>
      <c r="D54" s="741">
        <f>D52/D40</f>
        <v>2.1960896732490198</v>
      </c>
      <c r="E54" s="742">
        <f t="shared" ref="E54:K54" si="8">E52/E40</f>
        <v>-1.9752192173016423</v>
      </c>
      <c r="F54" s="742">
        <f t="shared" si="8"/>
        <v>4.4796010335988887</v>
      </c>
      <c r="G54" s="742">
        <f t="shared" si="8"/>
        <v>2.4905774090680559</v>
      </c>
      <c r="H54" s="742">
        <f t="shared" si="8"/>
        <v>3.9944884157820613</v>
      </c>
      <c r="I54" s="742">
        <f t="shared" si="8"/>
        <v>8.882158619545768</v>
      </c>
      <c r="J54" s="742">
        <f t="shared" si="8"/>
        <v>11.757150012365091</v>
      </c>
      <c r="K54" s="743">
        <f t="shared" si="8"/>
        <v>11.071800572732357</v>
      </c>
    </row>
    <row r="55" spans="2:21">
      <c r="B55" s="827"/>
      <c r="C55" s="393"/>
      <c r="D55" s="393"/>
      <c r="E55" s="393"/>
      <c r="F55" s="393"/>
      <c r="G55" s="393"/>
      <c r="H55" s="393"/>
      <c r="I55" s="393"/>
      <c r="J55" s="393"/>
      <c r="K55" s="393"/>
    </row>
    <row r="57" spans="2:21">
      <c r="B57" s="786" t="s">
        <v>377</v>
      </c>
      <c r="C57" s="787"/>
      <c r="D57" s="787"/>
      <c r="E57" s="787"/>
      <c r="F57" s="787"/>
      <c r="G57" s="787"/>
      <c r="H57" s="787"/>
      <c r="I57" s="787"/>
      <c r="J57" s="787"/>
      <c r="K57" s="787"/>
      <c r="L57" s="787"/>
      <c r="M57" s="486"/>
    </row>
    <row r="58" spans="2:21" s="31" customFormat="1">
      <c r="B58" s="487"/>
      <c r="C58" s="486"/>
      <c r="D58" s="486"/>
      <c r="E58" s="486"/>
      <c r="F58" s="486"/>
      <c r="G58" s="486"/>
      <c r="H58" s="486"/>
      <c r="I58" s="486"/>
      <c r="J58" s="486"/>
      <c r="K58" s="486"/>
      <c r="L58" s="486"/>
      <c r="M58" s="486"/>
      <c r="N58"/>
      <c r="O58"/>
      <c r="P58"/>
      <c r="Q58"/>
      <c r="R58"/>
      <c r="S58"/>
      <c r="T58"/>
      <c r="U58"/>
    </row>
    <row r="59" spans="2:21">
      <c r="B59" s="364" t="s">
        <v>474</v>
      </c>
      <c r="C59" s="291"/>
      <c r="D59" s="291"/>
      <c r="E59" s="291"/>
      <c r="F59" s="291"/>
      <c r="G59" s="291"/>
      <c r="H59" s="291"/>
      <c r="I59" s="291"/>
      <c r="J59" s="291"/>
      <c r="K59" s="291"/>
      <c r="L59" s="291"/>
      <c r="M59" s="199"/>
    </row>
    <row r="60" spans="2:21" s="31" customFormat="1">
      <c r="B60" s="369"/>
      <c r="C60" s="35"/>
      <c r="D60" s="35"/>
      <c r="E60" s="35"/>
      <c r="F60" s="35"/>
      <c r="G60" s="35"/>
      <c r="H60" s="35"/>
      <c r="I60" s="35"/>
      <c r="J60" s="35"/>
      <c r="K60" s="35"/>
      <c r="L60" s="35"/>
      <c r="M60" s="37"/>
      <c r="N60"/>
      <c r="O60"/>
      <c r="P60"/>
      <c r="Q60"/>
      <c r="R60"/>
      <c r="S60"/>
      <c r="T60"/>
      <c r="U60"/>
    </row>
    <row r="61" spans="2:21">
      <c r="B61" s="199" t="s">
        <v>376</v>
      </c>
      <c r="C61" s="209" t="str">
        <f>'RFPR cover'!$C$14</f>
        <v>£m 12/13</v>
      </c>
      <c r="D61" s="579">
        <v>6.7340727425985802</v>
      </c>
      <c r="E61" s="579">
        <v>5.8754258771452506</v>
      </c>
      <c r="F61" s="579">
        <v>9.8851168739017545</v>
      </c>
      <c r="G61" s="579">
        <v>7.7861233183928453</v>
      </c>
      <c r="H61" s="579">
        <v>7.2297084311211135</v>
      </c>
      <c r="I61" s="579">
        <v>6.5648111712673147</v>
      </c>
      <c r="J61" s="579">
        <v>6.8595797238691754</v>
      </c>
      <c r="K61" s="579">
        <v>6.8481898765438238</v>
      </c>
    </row>
    <row r="62" spans="2:21">
      <c r="B62" s="199" t="s">
        <v>379</v>
      </c>
      <c r="C62" s="209" t="str">
        <f>'RFPR cover'!$C$14</f>
        <v>£m 12/13</v>
      </c>
      <c r="D62" s="587"/>
      <c r="E62" s="588"/>
      <c r="F62" s="588"/>
      <c r="G62" s="588"/>
      <c r="H62" s="588"/>
      <c r="I62" s="588"/>
      <c r="J62" s="588"/>
      <c r="K62" s="681"/>
    </row>
    <row r="63" spans="2:21">
      <c r="B63" s="199" t="s">
        <v>380</v>
      </c>
      <c r="C63" s="209" t="str">
        <f>'RFPR cover'!$C$14</f>
        <v>£m 12/13</v>
      </c>
      <c r="D63" s="643">
        <f t="shared" ref="D63:K63" si="9">SUM(D61:D62)</f>
        <v>6.7340727425985802</v>
      </c>
      <c r="E63" s="644">
        <f t="shared" si="9"/>
        <v>5.8754258771452506</v>
      </c>
      <c r="F63" s="644">
        <f t="shared" si="9"/>
        <v>9.8851168739017545</v>
      </c>
      <c r="G63" s="644">
        <f t="shared" si="9"/>
        <v>7.7861233183928453</v>
      </c>
      <c r="H63" s="644">
        <f t="shared" si="9"/>
        <v>7.2297084311211135</v>
      </c>
      <c r="I63" s="644">
        <f t="shared" si="9"/>
        <v>6.5648111712673147</v>
      </c>
      <c r="J63" s="644">
        <f t="shared" si="9"/>
        <v>6.8595797238691754</v>
      </c>
      <c r="K63" s="645">
        <f t="shared" si="9"/>
        <v>6.8481898765438238</v>
      </c>
    </row>
    <row r="64" spans="2:21">
      <c r="B64" s="199"/>
      <c r="C64" s="209"/>
      <c r="D64" s="209"/>
      <c r="E64" s="209"/>
      <c r="F64" s="209"/>
      <c r="G64" s="209"/>
      <c r="H64" s="209"/>
      <c r="I64" s="209"/>
      <c r="J64" s="209"/>
      <c r="K64" s="209"/>
      <c r="L64" s="209"/>
    </row>
    <row r="65" spans="2:24">
      <c r="B65" s="509" t="s">
        <v>475</v>
      </c>
      <c r="C65" s="291"/>
      <c r="D65" s="291"/>
      <c r="E65" s="291"/>
      <c r="F65" s="291"/>
      <c r="G65" s="291"/>
      <c r="H65" s="291"/>
      <c r="I65" s="291"/>
      <c r="J65" s="291"/>
      <c r="K65" s="291"/>
      <c r="L65" s="291"/>
    </row>
    <row r="66" spans="2:24" s="31" customFormat="1">
      <c r="B66" s="510"/>
      <c r="C66" s="35"/>
      <c r="D66" s="35"/>
      <c r="E66" s="35"/>
      <c r="F66" s="35"/>
      <c r="G66" s="35"/>
      <c r="H66" s="35"/>
      <c r="I66" s="35"/>
      <c r="J66" s="35"/>
      <c r="K66" s="35"/>
      <c r="L66" s="35"/>
      <c r="N66"/>
      <c r="O66"/>
      <c r="P66"/>
      <c r="Q66"/>
      <c r="R66"/>
      <c r="S66"/>
      <c r="T66"/>
      <c r="U66"/>
    </row>
    <row r="67" spans="2:24">
      <c r="B67" s="199" t="s">
        <v>367</v>
      </c>
      <c r="C67" s="209" t="str">
        <f>'RFPR cover'!$C$14</f>
        <v>£m 12/13</v>
      </c>
      <c r="D67" s="579">
        <v>6.7340727425985802</v>
      </c>
      <c r="E67" s="579">
        <v>5.7686091563914523</v>
      </c>
      <c r="F67" s="579">
        <v>9.9889611779579077</v>
      </c>
      <c r="G67" s="579">
        <v>7.7902875572586883</v>
      </c>
      <c r="H67" s="956">
        <v>7.8036938654504047</v>
      </c>
      <c r="I67" s="956">
        <v>7.4015292136462527</v>
      </c>
      <c r="J67" s="956">
        <v>6.9000454457987326</v>
      </c>
      <c r="K67" s="956">
        <v>6.6601145946058429</v>
      </c>
    </row>
    <row r="68" spans="2:24">
      <c r="B68" s="199" t="s">
        <v>382</v>
      </c>
      <c r="C68" s="209" t="str">
        <f>'RFPR cover'!$C$14</f>
        <v>£m 12/13</v>
      </c>
      <c r="D68" s="587"/>
      <c r="E68" s="588"/>
      <c r="F68" s="588"/>
      <c r="G68" s="588"/>
      <c r="H68" s="588"/>
      <c r="I68" s="588"/>
      <c r="J68" s="588"/>
      <c r="K68" s="681"/>
    </row>
    <row r="69" spans="2:24">
      <c r="B69" s="14" t="s">
        <v>383</v>
      </c>
      <c r="C69" s="209" t="str">
        <f>'RFPR cover'!$C$14</f>
        <v>£m 12/13</v>
      </c>
      <c r="D69" s="607">
        <f t="shared" ref="D69:K69" si="10">SUM(D67:D68)</f>
        <v>6.7340727425985802</v>
      </c>
      <c r="E69" s="608">
        <f t="shared" si="10"/>
        <v>5.7686091563914523</v>
      </c>
      <c r="F69" s="608">
        <f t="shared" si="10"/>
        <v>9.9889611779579077</v>
      </c>
      <c r="G69" s="608">
        <f t="shared" si="10"/>
        <v>7.7902875572586883</v>
      </c>
      <c r="H69" s="608">
        <f t="shared" si="10"/>
        <v>7.8036938654504047</v>
      </c>
      <c r="I69" s="608">
        <f t="shared" si="10"/>
        <v>7.4015292136462527</v>
      </c>
      <c r="J69" s="608">
        <f t="shared" si="10"/>
        <v>6.9000454457987326</v>
      </c>
      <c r="K69" s="609">
        <f t="shared" si="10"/>
        <v>6.6601145946058429</v>
      </c>
    </row>
    <row r="70" spans="2:24" s="31" customFormat="1">
      <c r="B70" s="510"/>
      <c r="C70" s="35"/>
      <c r="D70" s="744"/>
      <c r="E70" s="744"/>
      <c r="F70" s="744"/>
      <c r="G70" s="744"/>
      <c r="H70" s="744"/>
      <c r="I70" s="744"/>
      <c r="J70" s="744"/>
      <c r="K70" s="744"/>
      <c r="L70" s="35"/>
      <c r="N70"/>
      <c r="O70"/>
      <c r="P70"/>
      <c r="Q70"/>
      <c r="R70"/>
      <c r="S70"/>
      <c r="T70"/>
      <c r="U70"/>
    </row>
    <row r="71" spans="2:24" s="31" customFormat="1">
      <c r="B71" s="511" t="s">
        <v>381</v>
      </c>
      <c r="C71" s="35"/>
      <c r="D71" s="699">
        <f t="shared" ref="D71:K71" si="11">D69-D63</f>
        <v>0</v>
      </c>
      <c r="E71" s="700">
        <f t="shared" si="11"/>
        <v>-0.10681672075379822</v>
      </c>
      <c r="F71" s="700">
        <f t="shared" si="11"/>
        <v>0.10384430405615319</v>
      </c>
      <c r="G71" s="700">
        <f t="shared" si="11"/>
        <v>4.1642388658429397E-3</v>
      </c>
      <c r="H71" s="700">
        <f t="shared" si="11"/>
        <v>0.57398543432929117</v>
      </c>
      <c r="I71" s="700">
        <f t="shared" si="11"/>
        <v>0.83671804237893799</v>
      </c>
      <c r="J71" s="700">
        <f t="shared" si="11"/>
        <v>4.0465721929557219E-2</v>
      </c>
      <c r="K71" s="701">
        <f t="shared" si="11"/>
        <v>-0.18807528193798095</v>
      </c>
      <c r="L71" s="35"/>
      <c r="N71"/>
      <c r="O71"/>
      <c r="P71"/>
      <c r="Q71"/>
      <c r="R71"/>
      <c r="S71"/>
      <c r="T71"/>
      <c r="U71"/>
    </row>
    <row r="72" spans="2:24">
      <c r="B72" s="199" t="s">
        <v>378</v>
      </c>
      <c r="C72" s="209" t="str">
        <f>'RFPR cover'!$C$14</f>
        <v>£m 12/13</v>
      </c>
      <c r="D72" s="583">
        <v>0</v>
      </c>
      <c r="E72" s="583">
        <v>0</v>
      </c>
      <c r="F72" s="583">
        <v>-0.6101908836206793</v>
      </c>
      <c r="G72" s="583">
        <v>-0.43487756155059715</v>
      </c>
      <c r="H72" s="583">
        <v>-0.43306243707580261</v>
      </c>
      <c r="I72" s="583">
        <v>-0.4200759330787347</v>
      </c>
      <c r="J72" s="583">
        <v>-0.40670642429162263</v>
      </c>
      <c r="K72" s="583">
        <v>-0.40842066508757624</v>
      </c>
    </row>
    <row r="73" spans="2:24">
      <c r="B73" s="199" t="s">
        <v>429</v>
      </c>
      <c r="C73" s="209" t="str">
        <f>'RFPR cover'!$C$14</f>
        <v>£m 12/13</v>
      </c>
      <c r="D73" s="583">
        <v>0</v>
      </c>
      <c r="E73" s="583">
        <v>0</v>
      </c>
      <c r="F73" s="583">
        <v>0.6101908836206793</v>
      </c>
      <c r="G73" s="583">
        <v>0.43487756155059715</v>
      </c>
      <c r="H73" s="583">
        <v>-0.5992182151212132</v>
      </c>
      <c r="I73" s="583">
        <v>-0.55623833637331166</v>
      </c>
      <c r="J73" s="583">
        <v>-0.51706363659423482</v>
      </c>
      <c r="K73" s="583">
        <v>-0.46916026300096025</v>
      </c>
    </row>
    <row r="74" spans="2:24">
      <c r="B74" s="199" t="s">
        <v>333</v>
      </c>
      <c r="C74" s="209" t="str">
        <f>'RFPR cover'!$C$14</f>
        <v>£m 12/13</v>
      </c>
      <c r="D74" s="745">
        <f>D71-D72-D73</f>
        <v>0</v>
      </c>
      <c r="E74" s="745">
        <f t="shared" ref="E74:K74" si="12">E71-E72-E73</f>
        <v>-0.10681672075379822</v>
      </c>
      <c r="F74" s="745">
        <f t="shared" si="12"/>
        <v>0.10384430405615319</v>
      </c>
      <c r="G74" s="745">
        <f t="shared" si="12"/>
        <v>4.1642388658429397E-3</v>
      </c>
      <c r="H74" s="957">
        <f t="shared" si="12"/>
        <v>1.6062660865263072</v>
      </c>
      <c r="I74" s="957">
        <f t="shared" si="12"/>
        <v>1.8130323118309843</v>
      </c>
      <c r="J74" s="957">
        <f t="shared" si="12"/>
        <v>0.96423578281541467</v>
      </c>
      <c r="K74" s="957">
        <f t="shared" si="12"/>
        <v>0.68950564615055554</v>
      </c>
    </row>
    <row r="75" spans="2:24">
      <c r="B75" s="199" t="s">
        <v>122</v>
      </c>
      <c r="C75" s="209" t="str">
        <f>'RFPR cover'!$C$14</f>
        <v>£m 12/13</v>
      </c>
      <c r="D75" s="512" t="str">
        <f>IF(ABS(D71-SUM(D72:D74))&lt;'RFPR cover'!$F$14,"OK","ERROR")</f>
        <v>OK</v>
      </c>
      <c r="E75" s="513" t="str">
        <f>IF(ABS(E71-SUM(E72:E74))&lt;'RFPR cover'!$F$14,"OK","ERROR")</f>
        <v>OK</v>
      </c>
      <c r="F75" s="513" t="str">
        <f>IF(ABS(F71-SUM(F72:F74))&lt;'RFPR cover'!$F$14,"OK","ERROR")</f>
        <v>OK</v>
      </c>
      <c r="G75" s="513" t="str">
        <f>IF(ABS(G71-SUM(G72:G74))&lt;'RFPR cover'!$F$14,"OK","ERROR")</f>
        <v>OK</v>
      </c>
      <c r="H75" s="513" t="str">
        <f>IF(ABS(H71-SUM(H72:H74))&lt;'RFPR cover'!$F$14,"OK","ERROR")</f>
        <v>OK</v>
      </c>
      <c r="I75" s="513" t="str">
        <f>IF(ABS(I71-SUM(I72:I74))&lt;'RFPR cover'!$F$14,"OK","ERROR")</f>
        <v>OK</v>
      </c>
      <c r="J75" s="513" t="str">
        <f>IF(ABS(J71-SUM(J72:J74))&lt;'RFPR cover'!$F$14,"OK","ERROR")</f>
        <v>OK</v>
      </c>
      <c r="K75" s="514" t="str">
        <f>IF(ABS(K71-SUM(K72:K74))&lt;'RFPR cover'!$F$14,"OK","ERROR")</f>
        <v>OK</v>
      </c>
    </row>
    <row r="76" spans="2:24">
      <c r="B76" s="199"/>
      <c r="C76" s="199"/>
      <c r="D76" s="199"/>
      <c r="E76" s="199"/>
      <c r="F76" s="199"/>
      <c r="G76" s="199"/>
      <c r="H76" s="199"/>
      <c r="I76" s="199"/>
      <c r="J76" s="199"/>
      <c r="K76" s="199"/>
      <c r="L76" s="199"/>
      <c r="M76" s="199"/>
    </row>
    <row r="78" spans="2:24">
      <c r="B78" s="831" t="s">
        <v>431</v>
      </c>
      <c r="C78" s="831"/>
      <c r="D78" s="831"/>
      <c r="E78" s="831"/>
      <c r="F78" s="831"/>
      <c r="G78" s="831"/>
      <c r="H78" s="831"/>
      <c r="I78" s="831"/>
      <c r="J78" s="831"/>
      <c r="K78" s="831"/>
      <c r="L78" s="831"/>
    </row>
    <row r="80" spans="2:24">
      <c r="B80" s="14" t="s">
        <v>432</v>
      </c>
      <c r="C80" s="210" t="str">
        <f>'RFPR cover'!$C$14</f>
        <v>£m 12/13</v>
      </c>
      <c r="D80" s="607">
        <f t="shared" ref="D80:K80" si="13">D$69-D42</f>
        <v>4.3903982646953867</v>
      </c>
      <c r="E80" s="608">
        <f t="shared" si="13"/>
        <v>7.5875272394403943</v>
      </c>
      <c r="F80" s="608">
        <f t="shared" si="13"/>
        <v>5.3251960594962569</v>
      </c>
      <c r="G80" s="608">
        <f t="shared" si="13"/>
        <v>5.0360574955559985</v>
      </c>
      <c r="H80" s="608">
        <f t="shared" si="13"/>
        <v>3.3944635189884753</v>
      </c>
      <c r="I80" s="608">
        <f t="shared" si="13"/>
        <v>-1.9045253445118835</v>
      </c>
      <c r="J80" s="608">
        <f t="shared" si="13"/>
        <v>-5.036889175236154</v>
      </c>
      <c r="K80" s="609">
        <f t="shared" si="13"/>
        <v>-4.6439133200195615</v>
      </c>
      <c r="V80" s="945"/>
      <c r="W80" s="945"/>
      <c r="X80" s="945"/>
    </row>
    <row r="81" spans="2:24">
      <c r="B81" s="14"/>
      <c r="C81" s="14"/>
      <c r="D81" s="14"/>
      <c r="E81" s="14"/>
      <c r="F81" s="14"/>
      <c r="G81" s="14"/>
      <c r="H81" s="14"/>
      <c r="I81" s="14"/>
      <c r="J81" s="14"/>
      <c r="K81" s="14"/>
      <c r="V81" s="945"/>
      <c r="W81" s="945"/>
      <c r="X81" s="945"/>
    </row>
    <row r="82" spans="2:24">
      <c r="B82" s="14" t="s">
        <v>443</v>
      </c>
      <c r="C82" s="210" t="str">
        <f>'RFPR cover'!$C$14</f>
        <v>£m 12/13</v>
      </c>
      <c r="D82" s="607">
        <f t="shared" ref="D82:K82" si="14">D$69-D54</f>
        <v>4.5379830693495604</v>
      </c>
      <c r="E82" s="608">
        <f t="shared" si="14"/>
        <v>7.7438283736930948</v>
      </c>
      <c r="F82" s="608">
        <f t="shared" si="14"/>
        <v>5.509360144359019</v>
      </c>
      <c r="G82" s="608">
        <f t="shared" si="14"/>
        <v>5.2997101481906324</v>
      </c>
      <c r="H82" s="608">
        <f t="shared" si="14"/>
        <v>3.8092054496683434</v>
      </c>
      <c r="I82" s="608">
        <f t="shared" si="14"/>
        <v>-1.4806294058995153</v>
      </c>
      <c r="J82" s="608">
        <f t="shared" si="14"/>
        <v>-4.8571045665663588</v>
      </c>
      <c r="K82" s="609">
        <f t="shared" si="14"/>
        <v>-4.4116859781265143</v>
      </c>
      <c r="V82" s="945"/>
      <c r="W82" s="945"/>
      <c r="X82" s="945"/>
    </row>
    <row r="83" spans="2:24">
      <c r="V83" s="945"/>
      <c r="W83" s="945"/>
      <c r="X83" s="945"/>
    </row>
    <row r="84" spans="2:24">
      <c r="B84" s="14" t="s">
        <v>442</v>
      </c>
      <c r="C84" s="210" t="str">
        <f>'RFPR cover'!$C$14</f>
        <v>£m 12/13</v>
      </c>
      <c r="D84" s="607">
        <f>D80-D82</f>
        <v>-0.14758480465417367</v>
      </c>
      <c r="E84" s="608">
        <f t="shared" ref="E84:K84" si="15">E80-E82</f>
        <v>-0.15630113425270054</v>
      </c>
      <c r="F84" s="608">
        <f t="shared" si="15"/>
        <v>-0.18416408486276215</v>
      </c>
      <c r="G84" s="608">
        <f t="shared" si="15"/>
        <v>-0.26365265263463389</v>
      </c>
      <c r="H84" s="608">
        <f t="shared" si="15"/>
        <v>-0.41474193067986809</v>
      </c>
      <c r="I84" s="608">
        <f t="shared" si="15"/>
        <v>-0.42389593861236818</v>
      </c>
      <c r="J84" s="608">
        <f t="shared" si="15"/>
        <v>-0.17978460866979518</v>
      </c>
      <c r="K84" s="609">
        <f t="shared" si="15"/>
        <v>-0.23222734189304717</v>
      </c>
      <c r="V84" s="945"/>
      <c r="W84" s="945"/>
      <c r="X84" s="945"/>
    </row>
    <row r="85" spans="2:24">
      <c r="V85" s="945"/>
      <c r="W85" s="945"/>
      <c r="X85" s="945"/>
    </row>
    <row r="86" spans="2:24">
      <c r="B86" t="s">
        <v>526</v>
      </c>
      <c r="C86" s="265" t="s">
        <v>128</v>
      </c>
      <c r="D86" s="583">
        <f>-'R7 - Financing'!D86*Data!$G$20*D$40</f>
        <v>3.062615943378471</v>
      </c>
      <c r="E86" s="583">
        <f>-'R7 - Financing'!E86*Data!$G$21*E$40</f>
        <v>1.7089443225733769</v>
      </c>
      <c r="F86" s="583">
        <f>-'R7 - Financing'!F86*Data!$G$22*F$40</f>
        <v>3.8683571346568073E-2</v>
      </c>
      <c r="G86" s="583">
        <f>-'R7 - Financing'!G86*Data!$G$23*G$40</f>
        <v>0.92032377669266818</v>
      </c>
      <c r="H86" s="583">
        <f>-'R7 - Financing'!H86*Data!$G$24*H$40</f>
        <v>1.9037731861735263</v>
      </c>
      <c r="I86" s="583">
        <f>-'R7 - Financing'!I86*Data!$G$25*I$40</f>
        <v>3.6810634262844482</v>
      </c>
      <c r="J86" s="583">
        <f>-'R7 - Financing'!J86*Data!$G$26*J$40</f>
        <v>1.703026809221041</v>
      </c>
      <c r="K86" s="583">
        <f>-'R7 - Financing'!K86*Data!$G$27*K$40</f>
        <v>1.5343050958785931</v>
      </c>
    </row>
    <row r="87" spans="2:24">
      <c r="B87" t="s">
        <v>526</v>
      </c>
      <c r="C87" s="393" t="str">
        <f>'RFPR cover'!$C$14</f>
        <v>£m 12/13</v>
      </c>
      <c r="D87" s="783">
        <f>D86/D$40</f>
        <v>2.8883972198838523</v>
      </c>
      <c r="E87" s="783">
        <f t="shared" ref="E87:K87" si="16">E86/E$40</f>
        <v>1.5779191527504262</v>
      </c>
      <c r="F87" s="783">
        <f t="shared" si="16"/>
        <v>3.4429346614945885E-2</v>
      </c>
      <c r="G87" s="783">
        <f t="shared" si="16"/>
        <v>0.7948247845534846</v>
      </c>
      <c r="H87" s="783">
        <f t="shared" si="16"/>
        <v>1.6026785678842272</v>
      </c>
      <c r="I87" s="783">
        <f t="shared" si="16"/>
        <v>3.0470779979730072</v>
      </c>
      <c r="J87" s="783">
        <f t="shared" si="16"/>
        <v>1.3803832661516158</v>
      </c>
      <c r="K87" s="783">
        <f t="shared" si="16"/>
        <v>1.2124069101249009</v>
      </c>
    </row>
    <row r="88" spans="2:24">
      <c r="B88" t="s">
        <v>527</v>
      </c>
      <c r="C88" s="265" t="s">
        <v>128</v>
      </c>
      <c r="D88" s="583">
        <f>-'R7 - Financing'!D88*Data!$G$20*D$40</f>
        <v>3.2191025833124502</v>
      </c>
      <c r="E88" s="583">
        <f>-'R7 - Financing'!E88*Data!$G$21*E$40</f>
        <v>1.8782241842997145</v>
      </c>
      <c r="F88" s="583">
        <f>-'R7 - Financing'!F88*Data!$G$22*F$40</f>
        <v>0.24560369085796893</v>
      </c>
      <c r="G88" s="583">
        <f>-'R7 - Financing'!G88*Data!$G$23*G$40</f>
        <v>1.2256059089604221</v>
      </c>
      <c r="H88" s="583">
        <f>-'R7 - Financing'!H88*Data!$G$24*H$40</f>
        <v>2.396432526999758</v>
      </c>
      <c r="I88" s="583">
        <f>-'R7 - Financing'!I88*Data!$G$25*I$40</f>
        <v>4.1931565979113348</v>
      </c>
      <c r="J88" s="583">
        <f>-'R7 - Financing'!J88*Data!$G$26*J$40</f>
        <v>1.9248333291621096</v>
      </c>
      <c r="K88" s="583">
        <f>-'R7 - Financing'!K88*Data!$G$27*K$40</f>
        <v>1.8281895921589191</v>
      </c>
    </row>
    <row r="89" spans="2:24">
      <c r="B89" t="s">
        <v>527</v>
      </c>
      <c r="C89" s="393" t="str">
        <f>'RFPR cover'!$C$14</f>
        <v>£m 12/13</v>
      </c>
      <c r="D89" s="783">
        <f t="shared" ref="D89:K89" si="17">D88/D$40</f>
        <v>3.0359820245380265</v>
      </c>
      <c r="E89" s="783">
        <f t="shared" si="17"/>
        <v>1.7342202870031269</v>
      </c>
      <c r="F89" s="783">
        <f t="shared" si="17"/>
        <v>0.21859343147770727</v>
      </c>
      <c r="G89" s="783">
        <f t="shared" si="17"/>
        <v>1.0584774371881178</v>
      </c>
      <c r="H89" s="783">
        <f t="shared" si="17"/>
        <v>2.0174204985640953</v>
      </c>
      <c r="I89" s="783">
        <f t="shared" si="17"/>
        <v>3.470973936585374</v>
      </c>
      <c r="J89" s="783">
        <f t="shared" si="17"/>
        <v>1.5601678748214116</v>
      </c>
      <c r="K89" s="783">
        <f t="shared" si="17"/>
        <v>1.4446342520179483</v>
      </c>
    </row>
    <row r="90" spans="2:24">
      <c r="B90" t="s">
        <v>530</v>
      </c>
      <c r="C90" s="393" t="str">
        <f>'RFPR cover'!$C$14</f>
        <v>£m 12/13</v>
      </c>
      <c r="D90" s="783">
        <f>D87-D89</f>
        <v>-0.14758480465417412</v>
      </c>
      <c r="E90" s="783">
        <f t="shared" ref="E90:K90" si="18">E87-E89</f>
        <v>-0.15630113425270076</v>
      </c>
      <c r="F90" s="783">
        <f t="shared" si="18"/>
        <v>-0.18416408486276137</v>
      </c>
      <c r="G90" s="783">
        <f t="shared" si="18"/>
        <v>-0.26365265263463322</v>
      </c>
      <c r="H90" s="783">
        <f t="shared" si="18"/>
        <v>-0.41474193067986809</v>
      </c>
      <c r="I90" s="783">
        <f t="shared" si="18"/>
        <v>-0.42389593861236685</v>
      </c>
      <c r="J90" s="783">
        <f t="shared" si="18"/>
        <v>-0.17978460866979584</v>
      </c>
      <c r="K90" s="783">
        <f t="shared" si="18"/>
        <v>-0.23222734189304739</v>
      </c>
    </row>
  </sheetData>
  <conditionalFormatting sqref="D6:K7">
    <cfRule type="expression" dxfId="29" priority="72">
      <formula>AND(D$6="Actuals",E$6="Forecast")</formula>
    </cfRule>
  </conditionalFormatting>
  <conditionalFormatting sqref="D5:K5">
    <cfRule type="expression" dxfId="28" priority="47">
      <formula>AND(D$5="Actuals",E$5="Forecast")</formula>
    </cfRule>
  </conditionalFormatting>
  <conditionalFormatting sqref="D37:F37">
    <cfRule type="expression" dxfId="27" priority="15">
      <formula>AND(D$5="Actuals",E$5="Actuals")</formula>
    </cfRule>
  </conditionalFormatting>
  <conditionalFormatting sqref="H24:K34 D12:K12 D15:K19">
    <cfRule type="expression" dxfId="26" priority="14">
      <formula>NOT(AND(D$5="Actuals"))</formula>
    </cfRule>
  </conditionalFormatting>
  <conditionalFormatting sqref="G37">
    <cfRule type="expression" dxfId="25" priority="180">
      <formula>AND(E$5="Actuals",F$5="Actuals")</formula>
    </cfRule>
  </conditionalFormatting>
  <conditionalFormatting sqref="D24:G34">
    <cfRule type="expression" dxfId="24" priority="3">
      <formula>NOT(AND(D$5="Actuals"))</formula>
    </cfRule>
  </conditionalFormatting>
  <conditionalFormatting sqref="H37:K37">
    <cfRule type="expression" dxfId="23" priority="1">
      <formula>AND(H$5="Actuals",I$5="Actuals")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19" t="s">
        <v>260</v>
      </c>
      <c r="B1" s="930"/>
      <c r="C1" s="119"/>
      <c r="D1" s="119"/>
      <c r="E1" s="119"/>
      <c r="F1" s="119"/>
      <c r="G1" s="119"/>
      <c r="H1" s="119"/>
      <c r="I1" s="125"/>
      <c r="J1" s="125"/>
      <c r="K1" s="126"/>
      <c r="L1" s="127"/>
    </row>
    <row r="2" spans="1:18" s="31" customFormat="1" ht="21">
      <c r="A2" s="904" t="str">
        <f>'RFPR cover'!C5</f>
        <v>WPD-SWALES</v>
      </c>
      <c r="B2" s="896"/>
      <c r="C2" s="29"/>
      <c r="D2" s="29"/>
      <c r="E2" s="29"/>
      <c r="F2" s="29"/>
      <c r="G2" s="29"/>
      <c r="H2" s="29"/>
      <c r="I2" s="27"/>
      <c r="J2" s="27"/>
      <c r="K2" s="27"/>
      <c r="L2" s="122"/>
    </row>
    <row r="3" spans="1:18" s="31" customFormat="1" ht="22.8">
      <c r="A3" s="921">
        <f>'RFPR cover'!C7</f>
        <v>2020</v>
      </c>
      <c r="B3" s="913" t="str">
        <f>'R1 - RoRE'!B3</f>
        <v/>
      </c>
      <c r="C3" s="123"/>
      <c r="D3" s="123"/>
      <c r="E3" s="123"/>
      <c r="F3" s="123"/>
      <c r="G3" s="123"/>
      <c r="H3" s="123"/>
      <c r="I3" s="28"/>
      <c r="J3" s="28"/>
      <c r="K3" s="28"/>
      <c r="L3" s="124"/>
    </row>
    <row r="4" spans="1:18" s="2" customFormat="1" ht="12.75" customHeight="1"/>
    <row r="5" spans="1:18" s="2" customFormat="1">
      <c r="B5" s="3"/>
      <c r="C5" s="3"/>
      <c r="D5" s="386" t="str">
        <f>IF(D6&lt;='RFPR cover'!$C$7,"Actuals","N/A")</f>
        <v>Actuals</v>
      </c>
      <c r="E5" s="387" t="str">
        <f>IF(E6&lt;='RFPR cover'!$C$7,"Actuals","N/A")</f>
        <v>Actuals</v>
      </c>
      <c r="F5" s="387" t="str">
        <f>IF(F6&lt;='RFPR cover'!$C$7,"Actuals","N/A")</f>
        <v>Actuals</v>
      </c>
      <c r="G5" s="387" t="str">
        <f>IF(G6&lt;='RFPR cover'!$C$7,"Actuals","N/A")</f>
        <v>Actuals</v>
      </c>
      <c r="H5" s="387" t="str">
        <f>IF(H6&lt;='RFPR cover'!$C$7,"Actuals","N/A")</f>
        <v>Actuals</v>
      </c>
      <c r="I5" s="387" t="str">
        <f>IF(I6&lt;='RFPR cover'!$C$7,"Actuals","N/A")</f>
        <v>N/A</v>
      </c>
      <c r="J5" s="387" t="str">
        <f>IF(J6&lt;='RFPR cover'!$C$7,"Actuals","N/A")</f>
        <v>N/A</v>
      </c>
      <c r="K5" s="388" t="str">
        <f>IF(K6&lt;='RFPR cover'!$C$7,"Actuals","N/A")</f>
        <v>N/A</v>
      </c>
    </row>
    <row r="6" spans="1:18" s="2" customFormat="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8" s="2" customFormat="1"/>
    <row r="8" spans="1:18">
      <c r="B8" s="14" t="s">
        <v>230</v>
      </c>
      <c r="C8" s="151" t="s">
        <v>128</v>
      </c>
      <c r="D8" s="635">
        <v>43.4</v>
      </c>
      <c r="E8" s="636">
        <v>0</v>
      </c>
      <c r="F8" s="636">
        <v>46.9</v>
      </c>
      <c r="G8" s="636">
        <v>19.399999999999999</v>
      </c>
      <c r="H8" s="636">
        <v>9.3000000000000007</v>
      </c>
      <c r="I8" s="636"/>
      <c r="J8" s="636"/>
      <c r="K8" s="637"/>
    </row>
    <row r="9" spans="1:18">
      <c r="B9" s="15" t="s">
        <v>105</v>
      </c>
      <c r="C9" s="14"/>
      <c r="D9" s="746"/>
      <c r="E9" s="746"/>
      <c r="F9" s="746"/>
      <c r="G9" s="746"/>
      <c r="H9" s="746"/>
      <c r="I9" s="746"/>
      <c r="J9" s="746"/>
      <c r="K9" s="746"/>
    </row>
    <row r="10" spans="1:18">
      <c r="B10" s="427" t="s">
        <v>615</v>
      </c>
      <c r="C10" s="151" t="s">
        <v>128</v>
      </c>
      <c r="D10" s="591">
        <v>2.1560517551929284</v>
      </c>
      <c r="E10" s="592">
        <v>0</v>
      </c>
      <c r="F10" s="592">
        <v>2.9728118676841451</v>
      </c>
      <c r="G10" s="592">
        <v>1.7489514988258785</v>
      </c>
      <c r="H10" s="592">
        <v>0.71406990729232855</v>
      </c>
      <c r="I10" s="592"/>
      <c r="J10" s="592"/>
      <c r="K10" s="602"/>
    </row>
    <row r="11" spans="1:18">
      <c r="B11" s="427" t="s">
        <v>22</v>
      </c>
      <c r="C11" s="151" t="s">
        <v>128</v>
      </c>
      <c r="D11" s="593"/>
      <c r="E11" s="594"/>
      <c r="F11" s="594"/>
      <c r="G11" s="594"/>
      <c r="H11" s="594"/>
      <c r="I11" s="594"/>
      <c r="J11" s="594"/>
      <c r="K11" s="603"/>
    </row>
    <row r="12" spans="1:18">
      <c r="B12" s="427" t="s">
        <v>20</v>
      </c>
      <c r="C12" s="151" t="s">
        <v>128</v>
      </c>
      <c r="D12" s="604"/>
      <c r="E12" s="605"/>
      <c r="F12" s="605"/>
      <c r="G12" s="605"/>
      <c r="H12" s="605"/>
      <c r="I12" s="605"/>
      <c r="J12" s="605"/>
      <c r="K12" s="606"/>
      <c r="Q12" s="215"/>
    </row>
    <row r="13" spans="1:18">
      <c r="B13" s="14" t="s">
        <v>106</v>
      </c>
      <c r="C13" s="151" t="s">
        <v>128</v>
      </c>
      <c r="D13" s="736">
        <f>D8-SUM(D10:D12)</f>
        <v>41.243948244807072</v>
      </c>
      <c r="E13" s="737">
        <f t="shared" ref="E13:K13" si="1">E8-SUM(E10:E12)</f>
        <v>0</v>
      </c>
      <c r="F13" s="737">
        <f t="shared" si="1"/>
        <v>43.927188132315855</v>
      </c>
      <c r="G13" s="737">
        <f t="shared" si="1"/>
        <v>17.65104850117412</v>
      </c>
      <c r="H13" s="737">
        <f t="shared" si="1"/>
        <v>8.585930092707672</v>
      </c>
      <c r="I13" s="737">
        <f t="shared" si="1"/>
        <v>0</v>
      </c>
      <c r="J13" s="737">
        <f t="shared" si="1"/>
        <v>0</v>
      </c>
      <c r="K13" s="738">
        <f t="shared" si="1"/>
        <v>0</v>
      </c>
      <c r="R13" s="214"/>
    </row>
    <row r="14" spans="1:18">
      <c r="C14" s="14"/>
      <c r="Q14" s="215"/>
    </row>
    <row r="15" spans="1:18">
      <c r="B15" s="14" t="s">
        <v>502</v>
      </c>
      <c r="C15" s="151" t="s">
        <v>128</v>
      </c>
      <c r="D15" s="591">
        <v>0</v>
      </c>
      <c r="E15" s="592">
        <v>0</v>
      </c>
      <c r="F15" s="592">
        <v>0</v>
      </c>
      <c r="G15" s="592">
        <v>0</v>
      </c>
      <c r="H15" s="592">
        <v>0</v>
      </c>
      <c r="I15" s="592"/>
      <c r="J15" s="592"/>
      <c r="K15" s="602"/>
    </row>
  </sheetData>
  <conditionalFormatting sqref="D6:K6">
    <cfRule type="expression" dxfId="22" priority="10">
      <formula>AND(D$5="Actuals",E$5="N/A")</formula>
    </cfRule>
  </conditionalFormatting>
  <conditionalFormatting sqref="D5:K5">
    <cfRule type="expression" dxfId="21" priority="3">
      <formula>AND(D$5="Actuals",E$5="N/A")</formula>
    </cfRule>
  </conditionalFormatting>
  <conditionalFormatting sqref="D8:K8 D5:K6 D10:K13">
    <cfRule type="expression" dxfId="20" priority="2">
      <formula>D$5="N/A"</formula>
    </cfRule>
  </conditionalFormatting>
  <conditionalFormatting sqref="D15:K15">
    <cfRule type="expression" dxfId="19"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5" t="s">
        <v>259</v>
      </c>
      <c r="B1" s="911"/>
      <c r="C1" s="255"/>
      <c r="D1" s="255"/>
      <c r="E1" s="255"/>
      <c r="F1" s="255"/>
      <c r="G1" s="255"/>
      <c r="H1" s="255"/>
      <c r="I1" s="256"/>
      <c r="J1" s="256"/>
      <c r="K1" s="257"/>
      <c r="L1" s="258"/>
    </row>
    <row r="2" spans="1:12" s="31" customFormat="1" ht="21">
      <c r="A2" s="904" t="str">
        <f>'RFPR cover'!C5</f>
        <v>WPD-SWALES</v>
      </c>
      <c r="B2" s="896"/>
      <c r="C2" s="29"/>
      <c r="D2" s="29"/>
      <c r="E2" s="29"/>
      <c r="F2" s="29"/>
      <c r="G2" s="29"/>
      <c r="H2" s="29"/>
      <c r="I2" s="27"/>
      <c r="J2" s="27"/>
      <c r="K2" s="27"/>
      <c r="L2" s="122"/>
    </row>
    <row r="3" spans="1:12" s="31" customFormat="1" ht="21">
      <c r="A3" s="907">
        <f>'RFPR cover'!C7</f>
        <v>2020</v>
      </c>
      <c r="B3" s="914"/>
      <c r="C3" s="259"/>
      <c r="D3" s="259"/>
      <c r="E3" s="259"/>
      <c r="F3" s="259"/>
      <c r="G3" s="259"/>
      <c r="H3" s="259"/>
      <c r="I3" s="254"/>
      <c r="J3" s="254"/>
      <c r="K3" s="254"/>
      <c r="L3" s="260"/>
    </row>
    <row r="4" spans="1:12" s="2" customFormat="1" ht="12.75" customHeight="1">
      <c r="A4" s="35"/>
      <c r="B4" s="268"/>
      <c r="C4" s="31"/>
      <c r="D4" s="269"/>
      <c r="E4" s="269"/>
      <c r="F4" s="35"/>
      <c r="G4" s="35"/>
      <c r="H4" s="35"/>
      <c r="I4" s="35"/>
      <c r="J4" s="35"/>
      <c r="K4" s="35"/>
    </row>
    <row r="5" spans="1:12" s="2" customFormat="1" ht="12.75" customHeight="1">
      <c r="A5" s="35"/>
      <c r="B5" s="268"/>
      <c r="C5" s="31"/>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row>
    <row r="6" spans="1:12" s="2" customFormat="1">
      <c r="A6" s="35"/>
      <c r="B6" s="35"/>
      <c r="C6" s="3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c r="A7" s="35"/>
      <c r="B7" s="35"/>
      <c r="C7" s="31"/>
      <c r="D7" s="31"/>
      <c r="E7" s="31"/>
      <c r="F7" s="31"/>
      <c r="G7" s="31"/>
      <c r="H7" s="31"/>
      <c r="I7" s="31"/>
      <c r="J7" s="31"/>
      <c r="K7" s="31"/>
      <c r="L7" s="31"/>
    </row>
    <row r="8" spans="1:12">
      <c r="B8" s="14" t="s">
        <v>391</v>
      </c>
      <c r="C8" s="151" t="s">
        <v>128</v>
      </c>
      <c r="D8" s="747">
        <v>34.086201676005537</v>
      </c>
      <c r="E8" s="748">
        <v>69.707374297607302</v>
      </c>
      <c r="F8" s="748">
        <v>0</v>
      </c>
      <c r="G8" s="748">
        <v>33.404017108190544</v>
      </c>
      <c r="H8" s="748">
        <v>32.966619352577247</v>
      </c>
      <c r="I8" s="748"/>
      <c r="J8" s="748"/>
      <c r="K8" s="749"/>
    </row>
    <row r="9" spans="1:12">
      <c r="B9" s="16" t="s">
        <v>24</v>
      </c>
      <c r="D9" s="746"/>
      <c r="E9" s="746"/>
      <c r="F9" s="746"/>
      <c r="G9" s="746"/>
      <c r="H9" s="746"/>
      <c r="I9" s="746"/>
      <c r="J9" s="746"/>
      <c r="K9" s="746"/>
    </row>
    <row r="10" spans="1:12">
      <c r="B10" t="s">
        <v>23</v>
      </c>
      <c r="C10" s="151" t="s">
        <v>128</v>
      </c>
      <c r="D10" s="674">
        <v>27.018399787323251</v>
      </c>
      <c r="E10" s="675">
        <v>55.253497091412314</v>
      </c>
      <c r="F10" s="675">
        <v>0</v>
      </c>
      <c r="G10" s="675">
        <v>26.389292034069662</v>
      </c>
      <c r="H10" s="675">
        <v>26.043746231489052</v>
      </c>
      <c r="I10" s="675"/>
      <c r="J10" s="675"/>
      <c r="K10" s="676"/>
    </row>
    <row r="11" spans="1:12">
      <c r="B11" t="s">
        <v>25</v>
      </c>
      <c r="C11" s="151" t="s">
        <v>128</v>
      </c>
      <c r="D11" s="750">
        <v>0.76781756804892043</v>
      </c>
      <c r="E11" s="751">
        <v>1.5702115218646047</v>
      </c>
      <c r="F11" s="751">
        <v>0</v>
      </c>
      <c r="G11" s="751">
        <v>-5.7506164941511707E-2</v>
      </c>
      <c r="H11" s="675">
        <v>-5.6753169653613295E-2</v>
      </c>
      <c r="I11" s="751"/>
      <c r="J11" s="751"/>
      <c r="K11" s="752"/>
    </row>
    <row r="12" spans="1:12">
      <c r="D12" s="746"/>
      <c r="E12" s="746"/>
      <c r="F12" s="746"/>
      <c r="G12" s="746"/>
      <c r="H12" s="746"/>
      <c r="I12" s="746"/>
      <c r="J12" s="746"/>
      <c r="K12" s="746"/>
    </row>
    <row r="13" spans="1:12">
      <c r="D13" s="746"/>
      <c r="E13" s="746"/>
      <c r="F13" s="746"/>
      <c r="G13" s="746"/>
      <c r="H13" s="746"/>
      <c r="I13" s="746"/>
      <c r="J13" s="746"/>
      <c r="K13" s="746"/>
    </row>
    <row r="14" spans="1:12">
      <c r="B14" t="s">
        <v>23</v>
      </c>
      <c r="C14" s="209" t="str">
        <f>'RFPR cover'!$C$14</f>
        <v>£m 12/13</v>
      </c>
      <c r="D14" s="17">
        <f>D10/Data!C$34</f>
        <v>25.481442098589294</v>
      </c>
      <c r="E14" s="17">
        <f>E10/Data!D$34</f>
        <v>51.017198258216496</v>
      </c>
      <c r="F14" s="17">
        <f>F10/Data!E$34</f>
        <v>0</v>
      </c>
      <c r="G14" s="17">
        <f>G10/Data!F$34</f>
        <v>22.790743743332328</v>
      </c>
      <c r="H14" s="17">
        <f>H10/Data!G$34</f>
        <v>21.924751444008724</v>
      </c>
      <c r="I14" s="17">
        <f>I10/Data!H$34</f>
        <v>0</v>
      </c>
      <c r="J14" s="17">
        <f>J10/Data!I$34</f>
        <v>0</v>
      </c>
      <c r="K14" s="17">
        <f>K10/Data!J$34</f>
        <v>0</v>
      </c>
    </row>
    <row r="15" spans="1:12">
      <c r="D15" s="746"/>
      <c r="E15" s="746"/>
      <c r="F15" s="746"/>
      <c r="G15" s="746"/>
      <c r="H15" s="746"/>
      <c r="I15" s="746"/>
      <c r="J15" s="746"/>
      <c r="K15" s="746"/>
    </row>
    <row r="16" spans="1:12">
      <c r="D16" s="746"/>
      <c r="E16" s="746"/>
      <c r="F16" s="746"/>
      <c r="G16" s="746"/>
      <c r="H16" s="746"/>
      <c r="I16" s="746"/>
      <c r="J16" s="746"/>
      <c r="K16" s="746"/>
    </row>
    <row r="17" spans="2:11" s="2" customFormat="1">
      <c r="B17" s="14" t="s">
        <v>313</v>
      </c>
      <c r="C17" s="209" t="str">
        <f>'RFPR cover'!$C$14</f>
        <v>£m 12/13</v>
      </c>
      <c r="D17" s="943">
        <v>25.425543387583833</v>
      </c>
      <c r="E17" s="943">
        <v>25.425543387583833</v>
      </c>
      <c r="F17" s="943">
        <v>25.425543387583833</v>
      </c>
      <c r="G17" s="943">
        <v>25.428685775819954</v>
      </c>
      <c r="H17" s="943">
        <v>25.428685775819954</v>
      </c>
      <c r="I17" s="943">
        <v>25.428685775819954</v>
      </c>
      <c r="J17" s="943">
        <v>25.428685775819954</v>
      </c>
      <c r="K17" s="943">
        <v>9.722518599582191</v>
      </c>
    </row>
    <row r="18" spans="2:11" s="2" customFormat="1">
      <c r="B18" s="199" t="s">
        <v>314</v>
      </c>
      <c r="C18" s="209" t="str">
        <f>'RFPR cover'!$C$14</f>
        <v>£m 12/13</v>
      </c>
      <c r="D18" s="943">
        <v>1.4699695944415692</v>
      </c>
      <c r="E18" s="943">
        <v>1.4699695944415692</v>
      </c>
      <c r="F18" s="943">
        <v>1.4731119826776899</v>
      </c>
      <c r="G18" s="943">
        <v>1.4731119826776899</v>
      </c>
      <c r="H18" s="943">
        <v>1.4731119826776899</v>
      </c>
      <c r="I18" s="943">
        <v>1.4731119826776899</v>
      </c>
      <c r="J18" s="943">
        <v>1.4731119826776899</v>
      </c>
      <c r="K18" s="943">
        <v>6.9131119826776901</v>
      </c>
    </row>
    <row r="19" spans="2:11" s="2" customFormat="1">
      <c r="B19" s="14" t="s">
        <v>315</v>
      </c>
      <c r="C19" s="209" t="str">
        <f>'RFPR cover'!$C$14</f>
        <v>£m 12/13</v>
      </c>
      <c r="D19" s="17">
        <f>D17-D18</f>
        <v>23.955573793142264</v>
      </c>
      <c r="E19" s="17">
        <f t="shared" ref="E19:K19" si="1">E17-E18</f>
        <v>23.955573793142264</v>
      </c>
      <c r="F19" s="17">
        <f t="shared" si="1"/>
        <v>23.952431404906143</v>
      </c>
      <c r="G19" s="17">
        <f t="shared" si="1"/>
        <v>23.955573793142264</v>
      </c>
      <c r="H19" s="17">
        <f t="shared" si="1"/>
        <v>23.955573793142264</v>
      </c>
      <c r="I19" s="17">
        <f t="shared" si="1"/>
        <v>23.955573793142264</v>
      </c>
      <c r="J19" s="17">
        <f t="shared" si="1"/>
        <v>23.955573793142264</v>
      </c>
      <c r="K19" s="17">
        <f t="shared" si="1"/>
        <v>2.8094066169045009</v>
      </c>
    </row>
    <row r="20" spans="2:11" s="2" customFormat="1">
      <c r="B20" s="14"/>
      <c r="C20" s="14"/>
      <c r="D20" s="14"/>
      <c r="E20" s="14"/>
      <c r="F20" s="14"/>
      <c r="G20" s="14"/>
      <c r="H20" s="14"/>
      <c r="I20" s="14"/>
      <c r="J20" s="14"/>
      <c r="K20" s="14"/>
    </row>
    <row r="21" spans="2:11" s="2" customFormat="1">
      <c r="B21" s="14"/>
      <c r="C21" s="14"/>
      <c r="D21" s="1009" t="s">
        <v>118</v>
      </c>
      <c r="E21" s="14"/>
      <c r="F21" s="14"/>
      <c r="G21" s="14"/>
      <c r="H21" s="14"/>
      <c r="I21" s="14"/>
      <c r="J21" s="14"/>
      <c r="K21" s="14"/>
    </row>
    <row r="22" spans="2:11" s="2" customFormat="1" ht="12.75" customHeight="1">
      <c r="B22" s="14"/>
      <c r="C22" s="14"/>
      <c r="D22" s="1010"/>
      <c r="E22" s="14"/>
      <c r="F22" s="14"/>
      <c r="G22" s="14"/>
      <c r="H22" s="14"/>
      <c r="I22" s="14"/>
      <c r="J22" s="14"/>
      <c r="K22" s="14"/>
    </row>
    <row r="23" spans="2:11">
      <c r="C23" s="14"/>
      <c r="D23" s="1011"/>
      <c r="E23" s="14"/>
    </row>
    <row r="24" spans="2:11">
      <c r="B24" s="14" t="s">
        <v>117</v>
      </c>
      <c r="C24" s="14"/>
      <c r="D24" s="941">
        <v>42460</v>
      </c>
    </row>
    <row r="25" spans="2:11">
      <c r="B25" s="14"/>
      <c r="C25" s="14"/>
      <c r="D25" s="40"/>
      <c r="E25" s="41"/>
      <c r="F25" s="41"/>
    </row>
    <row r="26" spans="2:11">
      <c r="B26" s="199" t="s">
        <v>312</v>
      </c>
      <c r="C26" s="14"/>
      <c r="D26" s="942" t="s">
        <v>77</v>
      </c>
      <c r="E26" s="41"/>
      <c r="F26" s="41"/>
    </row>
    <row r="27" spans="2:11">
      <c r="B27" s="199"/>
      <c r="C27" s="14"/>
      <c r="D27" s="40"/>
      <c r="E27" s="41"/>
      <c r="F27" s="41"/>
    </row>
    <row r="28" spans="2:11">
      <c r="B28" s="14"/>
      <c r="D28" s="359" t="s">
        <v>282</v>
      </c>
      <c r="E28" s="41"/>
      <c r="F28" s="41"/>
    </row>
    <row r="29" spans="2:11">
      <c r="B29" t="s">
        <v>26</v>
      </c>
      <c r="D29" s="943">
        <v>200.01971999999998</v>
      </c>
    </row>
    <row r="30" spans="2:11">
      <c r="B30" t="s">
        <v>27</v>
      </c>
      <c r="D30" s="943">
        <v>2093.9802800000002</v>
      </c>
    </row>
    <row r="31" spans="2:11">
      <c r="D31" s="746"/>
    </row>
    <row r="32" spans="2:11">
      <c r="B32" t="s">
        <v>28</v>
      </c>
      <c r="D32" s="943">
        <v>201.00000000000003</v>
      </c>
    </row>
    <row r="33" spans="2:4">
      <c r="B33" t="s">
        <v>29</v>
      </c>
      <c r="D33" s="943">
        <v>1586</v>
      </c>
    </row>
    <row r="34" spans="2:4">
      <c r="D34" s="746"/>
    </row>
    <row r="35" spans="2:4">
      <c r="B35" s="43" t="s">
        <v>31</v>
      </c>
      <c r="D35" s="17">
        <f>D29-D32</f>
        <v>-0.98028000000005022</v>
      </c>
    </row>
    <row r="36" spans="2:4">
      <c r="B36" s="43" t="s">
        <v>30</v>
      </c>
      <c r="D36" s="17">
        <f>D30-D33</f>
        <v>507.98028000000022</v>
      </c>
    </row>
    <row r="37" spans="2:4">
      <c r="D37" s="746"/>
    </row>
    <row r="38" spans="2:4">
      <c r="B38" t="s">
        <v>32</v>
      </c>
      <c r="D38" s="943">
        <v>193.38914400585065</v>
      </c>
    </row>
    <row r="39" spans="2:4">
      <c r="B39" t="s">
        <v>33</v>
      </c>
      <c r="D39" s="943">
        <v>-0.36871959776612673</v>
      </c>
    </row>
  </sheetData>
  <mergeCells count="1">
    <mergeCell ref="D21:D23"/>
  </mergeCells>
  <conditionalFormatting sqref="D6:J6">
    <cfRule type="expression" dxfId="18" priority="22">
      <formula>AND(D$4="Actuals",E$4="Forecast")</formula>
    </cfRule>
  </conditionalFormatting>
  <conditionalFormatting sqref="I11:K11">
    <cfRule type="expression" dxfId="17" priority="16">
      <formula>I$5="Forecast"</formula>
    </cfRule>
    <cfRule type="expression" dxfId="16" priority="17">
      <formula>I$5="Actuals"</formula>
    </cfRule>
  </conditionalFormatting>
  <conditionalFormatting sqref="I8:K8">
    <cfRule type="expression" dxfId="15" priority="20">
      <formula>I$5="Forecast"</formula>
    </cfRule>
    <cfRule type="expression" dxfId="14" priority="21">
      <formula>I$5="Actuals"</formula>
    </cfRule>
  </conditionalFormatting>
  <conditionalFormatting sqref="I10:K10">
    <cfRule type="expression" dxfId="13" priority="18">
      <formula>I$5="Forecast"</formula>
    </cfRule>
    <cfRule type="expression" dxfId="12" priority="19">
      <formula>I$5="Actuals"</formula>
    </cfRule>
  </conditionalFormatting>
  <conditionalFormatting sqref="D5:K6">
    <cfRule type="expression" dxfId="11" priority="15">
      <formula>AND(D$5="Actuals",E$5="Forecast")</formula>
    </cfRule>
  </conditionalFormatting>
  <conditionalFormatting sqref="D21">
    <cfRule type="expression" dxfId="10" priority="12">
      <formula>AND(E$4="Actuals",F$4="Forecast")</formula>
    </cfRule>
  </conditionalFormatting>
  <conditionalFormatting sqref="K6">
    <cfRule type="expression" dxfId="9" priority="118">
      <formula>AND(K$4="Actuals",#REF!="Forecast")</formula>
    </cfRule>
  </conditionalFormatting>
  <conditionalFormatting sqref="K5">
    <cfRule type="expression" dxfId="8" priority="120">
      <formula>AND(K$5="Actuals",#REF!="Forecast")</formula>
    </cfRule>
  </conditionalFormatting>
  <conditionalFormatting sqref="D11:G11">
    <cfRule type="expression" dxfId="7" priority="1">
      <formula>D$5="Forecast"</formula>
    </cfRule>
    <cfRule type="expression" dxfId="6" priority="2">
      <formula>D$5="Actuals"</formula>
    </cfRule>
  </conditionalFormatting>
  <conditionalFormatting sqref="D8:H8">
    <cfRule type="expression" dxfId="5" priority="5">
      <formula>D$5="Forecast"</formula>
    </cfRule>
    <cfRule type="expression" dxfId="4" priority="6">
      <formula>D$5="Actuals"</formula>
    </cfRule>
  </conditionalFormatting>
  <conditionalFormatting sqref="D10:H10 H11">
    <cfRule type="expression" dxfId="3" priority="3">
      <formula>D$5="Forecast"</formula>
    </cfRule>
    <cfRule type="expression" dxfId="2" priority="4">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1" t="s">
        <v>258</v>
      </c>
      <c r="B1" s="911"/>
      <c r="C1" s="255"/>
      <c r="D1" s="255"/>
      <c r="E1" s="255"/>
      <c r="F1" s="255"/>
      <c r="G1" s="255"/>
      <c r="H1" s="255"/>
      <c r="I1" s="256"/>
      <c r="J1" s="256"/>
      <c r="K1" s="257"/>
      <c r="L1" s="360"/>
      <c r="M1" s="33"/>
      <c r="N1" s="33"/>
      <c r="O1" s="32" t="s">
        <v>84</v>
      </c>
      <c r="P1" s="33"/>
      <c r="Q1" s="33"/>
      <c r="R1" s="33"/>
      <c r="S1" s="33"/>
    </row>
    <row r="2" spans="1:19" s="31" customFormat="1" ht="21">
      <c r="A2" s="904" t="str">
        <f>'RFPR cover'!C5</f>
        <v>WPD-SWALES</v>
      </c>
      <c r="B2" s="896"/>
      <c r="C2" s="29"/>
      <c r="D2" s="29"/>
      <c r="E2" s="29"/>
      <c r="F2" s="29"/>
      <c r="G2" s="29"/>
      <c r="H2" s="29"/>
      <c r="I2" s="27"/>
      <c r="J2" s="27"/>
      <c r="K2" s="27"/>
      <c r="L2" s="122"/>
      <c r="M2" s="33"/>
      <c r="N2" s="33"/>
      <c r="O2" s="32" t="s">
        <v>84</v>
      </c>
      <c r="P2" s="33"/>
      <c r="Q2" s="33"/>
      <c r="R2" s="33"/>
      <c r="S2" s="33"/>
    </row>
    <row r="3" spans="1:19" s="31" customFormat="1" ht="21">
      <c r="A3" s="907">
        <f>'RFPR cover'!C7</f>
        <v>2020</v>
      </c>
      <c r="B3" s="914"/>
      <c r="C3" s="259"/>
      <c r="D3" s="259"/>
      <c r="E3" s="259"/>
      <c r="F3" s="259"/>
      <c r="G3" s="259"/>
      <c r="H3" s="259"/>
      <c r="I3" s="254"/>
      <c r="J3" s="254"/>
      <c r="K3" s="254"/>
      <c r="L3" s="260"/>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c r="M5" s="33"/>
      <c r="N5" s="33"/>
      <c r="O5" s="32" t="s">
        <v>84</v>
      </c>
      <c r="P5" s="33"/>
      <c r="Q5" s="33"/>
      <c r="R5" s="33"/>
      <c r="S5" s="33"/>
    </row>
    <row r="6" spans="1:19" s="2" customFormat="1">
      <c r="C6" s="14"/>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9">
      <c r="D7" s="756"/>
      <c r="E7" s="756"/>
      <c r="F7" s="756"/>
      <c r="G7" s="756"/>
      <c r="H7" s="756"/>
      <c r="I7" s="756"/>
      <c r="J7" s="756"/>
      <c r="K7" s="756"/>
    </row>
    <row r="8" spans="1:19">
      <c r="B8" s="51" t="s">
        <v>465</v>
      </c>
      <c r="C8" s="209" t="str">
        <f>'RFPR cover'!$C$14</f>
        <v>£m 12/13</v>
      </c>
      <c r="D8" s="753">
        <f>(D16+D21)/Data!C34</f>
        <v>4.5269491545021344E-5</v>
      </c>
      <c r="E8" s="753">
        <f>(E16+E21)/Data!D34</f>
        <v>0</v>
      </c>
      <c r="F8" s="753">
        <f>(F16+F21)/Data!E34</f>
        <v>2.162760814527204E-5</v>
      </c>
      <c r="G8" s="753">
        <f>(G16+G21)/Data!F34</f>
        <v>2.0986355838876579E-5</v>
      </c>
      <c r="H8" s="753">
        <f>(H16+H21)/Data!G34</f>
        <v>2.0456790484513596E-5</v>
      </c>
      <c r="I8" s="753">
        <f>(I16+I21)/Data!H34</f>
        <v>2.0114838234526923E-5</v>
      </c>
      <c r="J8" s="753">
        <f>(J16+J21)/Data!I34</f>
        <v>1.9696292028912526E-5</v>
      </c>
      <c r="K8" s="753">
        <f>(K16+K21)/Data!J34</f>
        <v>1.9201844532208172E-5</v>
      </c>
    </row>
    <row r="9" spans="1:19">
      <c r="D9" s="756"/>
      <c r="E9" s="756"/>
      <c r="F9" s="756"/>
      <c r="G9" s="756"/>
      <c r="H9" s="756"/>
      <c r="I9" s="756"/>
      <c r="J9" s="756"/>
      <c r="K9" s="756"/>
    </row>
    <row r="10" spans="1:19">
      <c r="B10" s="14" t="s">
        <v>449</v>
      </c>
      <c r="D10" s="756"/>
      <c r="E10" s="756"/>
      <c r="F10" s="756"/>
      <c r="G10" s="756"/>
      <c r="H10" s="756"/>
      <c r="I10" s="756"/>
      <c r="J10" s="756"/>
      <c r="K10" s="756"/>
    </row>
    <row r="11" spans="1:19">
      <c r="B11" s="44" t="s">
        <v>36</v>
      </c>
      <c r="C11" s="151" t="s">
        <v>128</v>
      </c>
      <c r="D11" s="635">
        <v>0</v>
      </c>
      <c r="E11" s="636">
        <v>0</v>
      </c>
      <c r="F11" s="636">
        <v>0</v>
      </c>
      <c r="G11" s="636">
        <v>0</v>
      </c>
      <c r="H11" s="636">
        <v>0</v>
      </c>
      <c r="I11" s="636">
        <v>0</v>
      </c>
      <c r="J11" s="636">
        <v>0</v>
      </c>
      <c r="K11" s="637">
        <v>0</v>
      </c>
    </row>
    <row r="12" spans="1:19">
      <c r="B12" s="44" t="s">
        <v>36</v>
      </c>
      <c r="C12" s="151" t="s">
        <v>128</v>
      </c>
      <c r="D12" s="635">
        <v>0</v>
      </c>
      <c r="E12" s="636">
        <v>0</v>
      </c>
      <c r="F12" s="636">
        <v>0</v>
      </c>
      <c r="G12" s="636">
        <v>0</v>
      </c>
      <c r="H12" s="636">
        <v>0</v>
      </c>
      <c r="I12" s="636">
        <v>0</v>
      </c>
      <c r="J12" s="636">
        <v>0</v>
      </c>
      <c r="K12" s="637">
        <v>0</v>
      </c>
    </row>
    <row r="13" spans="1:19">
      <c r="B13" s="44" t="s">
        <v>20</v>
      </c>
      <c r="C13" s="151" t="s">
        <v>128</v>
      </c>
      <c r="D13" s="635">
        <v>0</v>
      </c>
      <c r="E13" s="636">
        <v>0</v>
      </c>
      <c r="F13" s="636">
        <v>0</v>
      </c>
      <c r="G13" s="636">
        <v>0</v>
      </c>
      <c r="H13" s="636">
        <v>0</v>
      </c>
      <c r="I13" s="636">
        <v>0</v>
      </c>
      <c r="J13" s="636">
        <v>0</v>
      </c>
      <c r="K13" s="637">
        <v>0</v>
      </c>
    </row>
    <row r="14" spans="1:19">
      <c r="B14" s="14" t="s">
        <v>462</v>
      </c>
      <c r="C14" s="151" t="s">
        <v>128</v>
      </c>
      <c r="D14" s="753">
        <f>SUM(D11:D13)</f>
        <v>0</v>
      </c>
      <c r="E14" s="754">
        <f t="shared" ref="E14:K14" si="1">SUM(E11:E13)</f>
        <v>0</v>
      </c>
      <c r="F14" s="754">
        <f t="shared" si="1"/>
        <v>0</v>
      </c>
      <c r="G14" s="754">
        <f t="shared" si="1"/>
        <v>0</v>
      </c>
      <c r="H14" s="754">
        <f t="shared" si="1"/>
        <v>0</v>
      </c>
      <c r="I14" s="754">
        <f t="shared" si="1"/>
        <v>0</v>
      </c>
      <c r="J14" s="754">
        <f t="shared" si="1"/>
        <v>0</v>
      </c>
      <c r="K14" s="755">
        <f t="shared" si="1"/>
        <v>0</v>
      </c>
    </row>
    <row r="15" spans="1:19">
      <c r="B15" s="35" t="s">
        <v>456</v>
      </c>
      <c r="C15" s="151" t="s">
        <v>128</v>
      </c>
      <c r="D15" s="635"/>
      <c r="E15" s="636"/>
      <c r="F15" s="636"/>
      <c r="G15" s="636"/>
      <c r="H15" s="636"/>
      <c r="I15" s="636"/>
      <c r="J15" s="636"/>
      <c r="K15" s="637"/>
    </row>
    <row r="16" spans="1:19">
      <c r="B16" s="51" t="s">
        <v>463</v>
      </c>
      <c r="C16" s="151" t="s">
        <v>128</v>
      </c>
      <c r="D16" s="753">
        <f>D14-D15</f>
        <v>0</v>
      </c>
      <c r="E16" s="753">
        <f t="shared" ref="E16:K16" si="2">E14-E15</f>
        <v>0</v>
      </c>
      <c r="F16" s="753">
        <f t="shared" si="2"/>
        <v>0</v>
      </c>
      <c r="G16" s="753">
        <f t="shared" si="2"/>
        <v>0</v>
      </c>
      <c r="H16" s="753">
        <f t="shared" si="2"/>
        <v>0</v>
      </c>
      <c r="I16" s="753">
        <f t="shared" si="2"/>
        <v>0</v>
      </c>
      <c r="J16" s="753">
        <f t="shared" si="2"/>
        <v>0</v>
      </c>
      <c r="K16" s="753">
        <f t="shared" si="2"/>
        <v>0</v>
      </c>
    </row>
    <row r="18" spans="2:11">
      <c r="B18" s="14" t="s">
        <v>460</v>
      </c>
      <c r="D18" s="756"/>
      <c r="E18" s="756"/>
      <c r="F18" s="756"/>
      <c r="G18" s="756"/>
      <c r="H18" s="756"/>
      <c r="I18" s="756"/>
      <c r="J18" s="756"/>
      <c r="K18" s="756"/>
    </row>
    <row r="19" spans="2:11">
      <c r="B19" s="841" t="s">
        <v>461</v>
      </c>
      <c r="C19" s="151" t="s">
        <v>128</v>
      </c>
      <c r="D19" s="635">
        <v>5.9999999999997555E-5</v>
      </c>
      <c r="E19" s="636">
        <v>0</v>
      </c>
      <c r="F19" s="636">
        <v>3.0000000000002247E-5</v>
      </c>
      <c r="G19" s="636">
        <v>3.0000000000002247E-5</v>
      </c>
      <c r="H19" s="636">
        <v>3.0000000000000001E-5</v>
      </c>
      <c r="I19" s="636">
        <f>AVERAGE($D$19:$H$19)</f>
        <v>3.0000000000000411E-5</v>
      </c>
      <c r="J19" s="636">
        <f t="shared" ref="J19:K19" si="3">AVERAGE($D$19:$H$19)</f>
        <v>3.0000000000000411E-5</v>
      </c>
      <c r="K19" s="637">
        <f t="shared" si="3"/>
        <v>3.0000000000000411E-5</v>
      </c>
    </row>
    <row r="20" spans="2:11">
      <c r="B20" s="35" t="s">
        <v>456</v>
      </c>
      <c r="C20" s="151" t="s">
        <v>128</v>
      </c>
      <c r="D20" s="635">
        <f>+D19*Data!G20</f>
        <v>1.1999999999999512E-5</v>
      </c>
      <c r="E20" s="636">
        <f>+E19*Data!$G$21</f>
        <v>0</v>
      </c>
      <c r="F20" s="636">
        <f>+F19*Data!$G$22</f>
        <v>5.7000000000004274E-6</v>
      </c>
      <c r="G20" s="636">
        <f>+G19*Data!$G$23</f>
        <v>5.7000000000004274E-6</v>
      </c>
      <c r="H20" s="636">
        <f>+H19*Data!$G$24</f>
        <v>5.7000000000000005E-6</v>
      </c>
      <c r="I20" s="636">
        <f>+I19*Data!$G$25</f>
        <v>5.7000000000000784E-6</v>
      </c>
      <c r="J20" s="636">
        <f>+J19*Data!$G$26</f>
        <v>5.7000000000000784E-6</v>
      </c>
      <c r="K20" s="637">
        <f>+K19*Data!$G$27</f>
        <v>5.7000000000000784E-6</v>
      </c>
    </row>
    <row r="21" spans="2:11">
      <c r="B21" s="51" t="s">
        <v>464</v>
      </c>
      <c r="C21" s="151" t="s">
        <v>128</v>
      </c>
      <c r="D21" s="753">
        <f>D19-D20</f>
        <v>4.7999999999998043E-5</v>
      </c>
      <c r="E21" s="753">
        <f t="shared" ref="E21:K21" si="4">E19-E20</f>
        <v>0</v>
      </c>
      <c r="F21" s="753">
        <f t="shared" si="4"/>
        <v>2.4300000000001821E-5</v>
      </c>
      <c r="G21" s="753">
        <f t="shared" si="4"/>
        <v>2.4300000000001821E-5</v>
      </c>
      <c r="H21" s="753">
        <f t="shared" si="4"/>
        <v>2.4300000000000001E-5</v>
      </c>
      <c r="I21" s="753">
        <f t="shared" si="4"/>
        <v>2.4300000000000333E-5</v>
      </c>
      <c r="J21" s="753">
        <f t="shared" si="4"/>
        <v>2.4300000000000333E-5</v>
      </c>
      <c r="K21" s="753">
        <f t="shared" si="4"/>
        <v>2.4300000000000333E-5</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B75" sqref="A1:XFD1048576"/>
      <selection pane="bottomLeft" activeCell="C8" sqref="C8"/>
    </sheetView>
  </sheetViews>
  <sheetFormatPr defaultRowHeight="12.6"/>
  <cols>
    <col min="1" max="1" width="8.36328125" customWidth="1"/>
    <col min="2" max="2" width="35.08984375" customWidth="1"/>
    <col min="8" max="8" width="10.08984375" bestFit="1" customWidth="1"/>
    <col min="14" max="14" width="9" customWidth="1"/>
  </cols>
  <sheetData>
    <row r="1" spans="1:14" ht="21">
      <c r="A1" s="901" t="s">
        <v>373</v>
      </c>
      <c r="B1" s="902"/>
      <c r="C1" s="902"/>
      <c r="D1" s="902"/>
      <c r="E1" s="902"/>
      <c r="F1" s="902"/>
      <c r="G1" s="902"/>
      <c r="H1" s="902"/>
      <c r="I1" s="902"/>
      <c r="J1" s="902"/>
      <c r="K1" s="902"/>
      <c r="L1" s="902"/>
      <c r="M1" s="902"/>
      <c r="N1" s="903"/>
    </row>
    <row r="2" spans="1:14" ht="21">
      <c r="A2" s="904" t="str">
        <f>'RFPR cover'!C5</f>
        <v>WPD-SWALES</v>
      </c>
      <c r="B2" s="905"/>
      <c r="C2" s="905"/>
      <c r="D2" s="905"/>
      <c r="E2" s="905"/>
      <c r="F2" s="905"/>
      <c r="G2" s="905"/>
      <c r="H2" s="905"/>
      <c r="I2" s="905"/>
      <c r="J2" s="905"/>
      <c r="K2" s="905"/>
      <c r="L2" s="905"/>
      <c r="M2" s="905"/>
      <c r="N2" s="906"/>
    </row>
    <row r="3" spans="1:14" ht="21">
      <c r="A3" s="907">
        <f>'RFPR cover'!C7</f>
        <v>2020</v>
      </c>
      <c r="B3" s="908"/>
      <c r="C3" s="908"/>
      <c r="D3" s="908"/>
      <c r="E3" s="908"/>
      <c r="F3" s="908"/>
      <c r="G3" s="908"/>
      <c r="H3" s="908"/>
      <c r="I3" s="908"/>
      <c r="J3" s="908"/>
      <c r="K3" s="908"/>
      <c r="L3" s="908"/>
      <c r="M3" s="908"/>
      <c r="N3" s="909"/>
    </row>
    <row r="6" spans="1:14">
      <c r="A6" s="30"/>
      <c r="B6" s="21">
        <v>2018</v>
      </c>
      <c r="C6" s="20" t="s">
        <v>63</v>
      </c>
      <c r="D6" s="18"/>
      <c r="E6" s="18"/>
      <c r="F6" s="838"/>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48" t="s">
        <v>39</v>
      </c>
      <c r="C13" s="549" t="s">
        <v>40</v>
      </c>
      <c r="D13" s="549" t="s">
        <v>192</v>
      </c>
      <c r="E13" s="549" t="s">
        <v>41</v>
      </c>
      <c r="F13" s="549" t="s">
        <v>42</v>
      </c>
      <c r="G13" s="550" t="s">
        <v>320</v>
      </c>
    </row>
    <row r="14" spans="1:14">
      <c r="A14" s="30"/>
      <c r="B14" s="161" t="s">
        <v>74</v>
      </c>
      <c r="C14" s="168">
        <v>2010</v>
      </c>
      <c r="D14" s="162" t="str">
        <f>IF(VALUE(C14)&lt;='RFPR cover'!$C$7,"Actual","Forecast")</f>
        <v>Actual</v>
      </c>
      <c r="E14" s="370">
        <v>215.767</v>
      </c>
      <c r="F14" s="495">
        <v>221.75</v>
      </c>
      <c r="G14" s="163">
        <v>0.28000000000000003</v>
      </c>
      <c r="H14" s="839"/>
      <c r="J14" s="840"/>
    </row>
    <row r="15" spans="1:14">
      <c r="A15" s="30"/>
      <c r="B15" s="164" t="s">
        <v>75</v>
      </c>
      <c r="C15" s="169">
        <v>2011</v>
      </c>
      <c r="D15" s="165" t="str">
        <f>IF(VALUE(C15)&lt;='RFPR cover'!$C$7,"Actual","Forecast")</f>
        <v>Actual</v>
      </c>
      <c r="E15" s="371">
        <v>226.47499999999999</v>
      </c>
      <c r="F15" s="496">
        <v>233.45</v>
      </c>
      <c r="G15" s="166">
        <v>0.28000000000000003</v>
      </c>
      <c r="H15" s="839"/>
      <c r="J15" s="840"/>
    </row>
    <row r="16" spans="1:14" ht="14.25" customHeight="1">
      <c r="A16" s="30"/>
      <c r="B16" s="164" t="s">
        <v>76</v>
      </c>
      <c r="C16" s="169">
        <v>2012</v>
      </c>
      <c r="D16" s="165" t="str">
        <f>IF(VALUE(C16)&lt;='RFPR cover'!$C$7,"Actual","Forecast")</f>
        <v>Actual</v>
      </c>
      <c r="E16" s="371">
        <v>237.34200000000001</v>
      </c>
      <c r="F16" s="496">
        <v>241.65</v>
      </c>
      <c r="G16" s="166">
        <v>0.26</v>
      </c>
      <c r="H16" s="839"/>
      <c r="J16" s="840"/>
    </row>
    <row r="17" spans="2:10">
      <c r="B17" s="164" t="s">
        <v>77</v>
      </c>
      <c r="C17" s="169">
        <v>2013</v>
      </c>
      <c r="D17" s="165" t="str">
        <f>IF(VALUE(C17)&lt;='RFPR cover'!$C$7,"Actual","Forecast")</f>
        <v>Actual</v>
      </c>
      <c r="E17" s="371">
        <v>244.67500000000001</v>
      </c>
      <c r="F17" s="496">
        <v>249.1</v>
      </c>
      <c r="G17" s="166">
        <v>0.24</v>
      </c>
      <c r="H17" s="839"/>
      <c r="J17" s="840"/>
    </row>
    <row r="18" spans="2:10">
      <c r="B18" s="164" t="s">
        <v>78</v>
      </c>
      <c r="C18" s="169">
        <v>2014</v>
      </c>
      <c r="D18" s="165" t="str">
        <f>IF(VALUE(C18)&lt;='RFPR cover'!$C$7,"Actual","Forecast")</f>
        <v>Actual</v>
      </c>
      <c r="E18" s="371">
        <v>251.733</v>
      </c>
      <c r="F18" s="496">
        <v>255.25</v>
      </c>
      <c r="G18" s="166">
        <v>0.23</v>
      </c>
      <c r="H18" s="839"/>
      <c r="I18" s="515"/>
      <c r="J18" s="840"/>
    </row>
    <row r="19" spans="2:10">
      <c r="B19" s="164" t="s">
        <v>79</v>
      </c>
      <c r="C19" s="169">
        <v>2015</v>
      </c>
      <c r="D19" s="165" t="str">
        <f>IF(VALUE(C19)&lt;='RFPR cover'!$C$7,"Actual","Forecast")</f>
        <v>Actual</v>
      </c>
      <c r="E19" s="371">
        <v>256.66699999999997</v>
      </c>
      <c r="F19" s="496">
        <v>257.55</v>
      </c>
      <c r="G19" s="166">
        <v>0.21</v>
      </c>
      <c r="H19" s="839"/>
      <c r="I19" s="515"/>
      <c r="J19" s="840"/>
    </row>
    <row r="20" spans="2:10">
      <c r="B20" s="164" t="s">
        <v>80</v>
      </c>
      <c r="C20" s="169">
        <v>2016</v>
      </c>
      <c r="D20" s="165" t="str">
        <f>IF(VALUE(C20)&lt;='RFPR cover'!$C$7,"Actual","Forecast")</f>
        <v>Actual</v>
      </c>
      <c r="E20" s="371">
        <v>259.43299999999999</v>
      </c>
      <c r="F20" s="496">
        <v>261.25</v>
      </c>
      <c r="G20" s="166">
        <v>0.2</v>
      </c>
      <c r="H20" s="839"/>
      <c r="I20" s="515"/>
      <c r="J20" s="840"/>
    </row>
    <row r="21" spans="2:10">
      <c r="B21" s="164" t="s">
        <v>81</v>
      </c>
      <c r="C21" s="169">
        <v>2017</v>
      </c>
      <c r="D21" s="165" t="str">
        <f>IF(VALUE(C21)&lt;='RFPR cover'!$C$7,"Actual","Forecast")</f>
        <v>Actual</v>
      </c>
      <c r="E21" s="371">
        <v>264.99200000000002</v>
      </c>
      <c r="F21" s="496">
        <v>269.95000000000005</v>
      </c>
      <c r="G21" s="166">
        <v>0.2</v>
      </c>
      <c r="H21" s="839"/>
      <c r="I21" s="515"/>
      <c r="J21" s="840"/>
    </row>
    <row r="22" spans="2:10">
      <c r="B22" s="164" t="s">
        <v>63</v>
      </c>
      <c r="C22" s="169">
        <v>2018</v>
      </c>
      <c r="D22" s="165" t="str">
        <f>IF(VALUE(C22)&lt;='RFPR cover'!$C$7,"Actual","Forecast")</f>
        <v>Actual</v>
      </c>
      <c r="E22" s="371">
        <v>274.90800000000002</v>
      </c>
      <c r="F22" s="496">
        <v>279</v>
      </c>
      <c r="G22" s="166">
        <v>0.19</v>
      </c>
      <c r="H22" s="839"/>
      <c r="I22" s="515"/>
      <c r="J22" s="840"/>
    </row>
    <row r="23" spans="2:10">
      <c r="B23" s="498" t="s">
        <v>64</v>
      </c>
      <c r="C23" s="499">
        <v>2019</v>
      </c>
      <c r="D23" s="165" t="str">
        <f>IF(VALUE(C23)&lt;='RFPR cover'!$C$7,"Actual","Forecast")</f>
        <v>Actual</v>
      </c>
      <c r="E23" s="371">
        <v>283.30799999999999</v>
      </c>
      <c r="F23" s="496">
        <v>286.64999999999998</v>
      </c>
      <c r="G23" s="166">
        <v>0.19</v>
      </c>
      <c r="H23" s="839"/>
      <c r="J23" s="840"/>
    </row>
    <row r="24" spans="2:10">
      <c r="B24" s="498" t="s">
        <v>65</v>
      </c>
      <c r="C24" s="499">
        <v>2020</v>
      </c>
      <c r="D24" s="165" t="str">
        <f>IF(VALUE(C24)&lt;='RFPR cover'!$C$7,"Actual","Forecast")</f>
        <v>Actual</v>
      </c>
      <c r="E24" s="371">
        <v>290.642</v>
      </c>
      <c r="F24" s="496">
        <v>292.60000000000002</v>
      </c>
      <c r="G24" s="166">
        <v>0.19</v>
      </c>
      <c r="H24" s="839"/>
      <c r="J24" s="840"/>
    </row>
    <row r="25" spans="2:10">
      <c r="B25" s="498" t="s">
        <v>66</v>
      </c>
      <c r="C25" s="499">
        <v>2021</v>
      </c>
      <c r="D25" s="165" t="str">
        <f>IF(VALUE(C25)&lt;='RFPR cover'!$C$7,"Actual","Forecast")</f>
        <v>Forecast</v>
      </c>
      <c r="E25" s="497">
        <f t="shared" ref="E25:F27" si="0">E24*(1+INDEX($D$43:$J$43,0,MATCH($C25,$D$42:$J$42,0)))</f>
        <v>295.58291399999996</v>
      </c>
      <c r="F25" s="497">
        <f t="shared" si="0"/>
        <v>297.57420000000002</v>
      </c>
      <c r="G25" s="166">
        <v>0.19</v>
      </c>
      <c r="H25" s="839"/>
      <c r="J25" s="840"/>
    </row>
    <row r="26" spans="2:10">
      <c r="B26" s="498" t="s">
        <v>67</v>
      </c>
      <c r="C26" s="499">
        <v>2022</v>
      </c>
      <c r="D26" s="165" t="str">
        <f>IF(VALUE(C26)&lt;='RFPR cover'!$C$7,"Actual","Forecast")</f>
        <v>Forecast</v>
      </c>
      <c r="E26" s="497">
        <f t="shared" si="0"/>
        <v>301.86405092249998</v>
      </c>
      <c r="F26" s="497">
        <f t="shared" si="0"/>
        <v>303.89765175000002</v>
      </c>
      <c r="G26" s="166">
        <v>0.19</v>
      </c>
      <c r="H26" s="839"/>
      <c r="J26" s="840"/>
    </row>
    <row r="27" spans="2:10">
      <c r="B27" s="498" t="s">
        <v>68</v>
      </c>
      <c r="C27" s="499">
        <v>2023</v>
      </c>
      <c r="D27" s="165" t="str">
        <f>IF(VALUE(C27)&lt;='RFPR cover'!$C$7,"Actual","Forecast")</f>
        <v>Forecast</v>
      </c>
      <c r="E27" s="497">
        <f t="shared" si="0"/>
        <v>309.63705023375434</v>
      </c>
      <c r="F27" s="497">
        <f t="shared" si="0"/>
        <v>311.72301628256253</v>
      </c>
      <c r="G27" s="166">
        <v>0.19</v>
      </c>
      <c r="H27" s="839"/>
      <c r="J27" s="840"/>
    </row>
    <row r="28" spans="2:10">
      <c r="B28" s="498" t="s">
        <v>205</v>
      </c>
      <c r="C28" s="499">
        <v>2024</v>
      </c>
      <c r="D28" s="165" t="str">
        <f>IF(VALUE(C28)&lt;='RFPR cover'!$C$7,"Actual","Forecast")</f>
        <v>Forecast</v>
      </c>
      <c r="E28" s="373"/>
      <c r="F28" s="373"/>
      <c r="G28" s="166">
        <v>0.19</v>
      </c>
    </row>
    <row r="29" spans="2:10">
      <c r="B29" s="498" t="s">
        <v>206</v>
      </c>
      <c r="C29" s="499">
        <v>2025</v>
      </c>
      <c r="D29" s="165" t="str">
        <f>IF(VALUE(C29)&lt;='RFPR cover'!$C$7,"Actual","Forecast")</f>
        <v>Forecast</v>
      </c>
      <c r="E29" s="373"/>
      <c r="F29" s="373"/>
      <c r="G29" s="166">
        <v>0.19</v>
      </c>
    </row>
    <row r="30" spans="2:10">
      <c r="B30" s="500" t="s">
        <v>207</v>
      </c>
      <c r="C30" s="501">
        <v>2026</v>
      </c>
      <c r="D30" s="167" t="str">
        <f>IF(VALUE(C30)&lt;='RFPR cover'!$C$7,"Actual","Forecast")</f>
        <v>Forecast</v>
      </c>
      <c r="E30" s="372"/>
      <c r="F30" s="372"/>
      <c r="G30" s="166">
        <v>0.19</v>
      </c>
    </row>
    <row r="31" spans="2:10">
      <c r="B31" s="87"/>
      <c r="C31" s="67"/>
      <c r="D31" s="67"/>
      <c r="E31" s="67"/>
      <c r="F31" s="67"/>
    </row>
    <row r="32" spans="2:10">
      <c r="B32" s="87"/>
      <c r="C32" s="340" t="str">
        <f>IF(C33&lt;='RFPR cover'!$C$7,"Actuals","Forecast")</f>
        <v>Actuals</v>
      </c>
      <c r="D32" s="341" t="str">
        <f>IF(D33&lt;='RFPR cover'!$C$7,"Actuals","Forecast")</f>
        <v>Actuals</v>
      </c>
      <c r="E32" s="341" t="str">
        <f>IF(E33&lt;='RFPR cover'!$C$7,"Actuals","Forecast")</f>
        <v>Actuals</v>
      </c>
      <c r="F32" s="341" t="str">
        <f>IF(F33&lt;='RFPR cover'!$C$7,"Actuals","Forecast")</f>
        <v>Actuals</v>
      </c>
      <c r="G32" s="341" t="str">
        <f>IF(G33&lt;='RFPR cover'!$C$7,"Actuals","Forecast")</f>
        <v>Actuals</v>
      </c>
      <c r="H32" s="341" t="str">
        <f>IF(H33&lt;='RFPR cover'!$C$7,"Actuals","Forecast")</f>
        <v>Forecast</v>
      </c>
      <c r="I32" s="341" t="str">
        <f>IF(I33&lt;='RFPR cover'!$C$7,"Actuals","Forecast")</f>
        <v>Forecast</v>
      </c>
      <c r="J32" s="342" t="str">
        <f>IF(J33&lt;='RFPR cover'!$C$7,"Actuals","Forecast")</f>
        <v>Forecast</v>
      </c>
    </row>
    <row r="33" spans="2:13" ht="15.75" customHeight="1">
      <c r="B33" s="287"/>
      <c r="C33" s="89">
        <f>'RFPR cover'!$C$13</f>
        <v>2016</v>
      </c>
      <c r="D33" s="90">
        <f t="shared" ref="D33:J33" si="1">C33+1</f>
        <v>2017</v>
      </c>
      <c r="E33" s="90">
        <f t="shared" si="1"/>
        <v>2018</v>
      </c>
      <c r="F33" s="90">
        <f t="shared" si="1"/>
        <v>2019</v>
      </c>
      <c r="G33" s="90">
        <f t="shared" si="1"/>
        <v>2020</v>
      </c>
      <c r="H33" s="90">
        <f t="shared" si="1"/>
        <v>2021</v>
      </c>
      <c r="I33" s="90">
        <f t="shared" si="1"/>
        <v>2022</v>
      </c>
      <c r="J33" s="314">
        <f t="shared" si="1"/>
        <v>2023</v>
      </c>
    </row>
    <row r="34" spans="2:13" ht="15.75" customHeight="1">
      <c r="B34" s="493" t="s">
        <v>374</v>
      </c>
      <c r="C34" s="491">
        <f>INDEX(Data!$E$14:$E$30,MATCH(C$33,Data!$C$14:$C$30,0),0)/IF('RFPR cover'!$C$6="ED1",Data!$E$17,Data!$E$14)</f>
        <v>1.0603167467048125</v>
      </c>
      <c r="D34" s="488">
        <f>INDEX(Data!$E$14:$E$30,MATCH(D$33,Data!$C$14:$C$30,0),0)/IF('RFPR cover'!$C$6="ED1",Data!$E$17,Data!$E$14)</f>
        <v>1.0830366813119445</v>
      </c>
      <c r="E34" s="488">
        <f>INDEX(Data!$E$14:$E$30,MATCH(E$33,Data!$C$14:$C$30,0),0)/IF('RFPR cover'!$C$6="ED1",Data!$E$17,Data!$E$14)</f>
        <v>1.1235639113109226</v>
      </c>
      <c r="F34" s="488">
        <f>INDEX(Data!$E$14:$E$30,MATCH(F$33,Data!$C$14:$C$30,0),0)/IF('RFPR cover'!$C$6="ED1",Data!$E$17,Data!$E$14)</f>
        <v>1.1578951670583426</v>
      </c>
      <c r="G34" s="488">
        <f>INDEX(Data!$E$14:$E$30,MATCH(G$33,Data!$C$14:$C$30,0),0)/IF('RFPR cover'!$C$6="ED1",Data!$E$17,Data!$E$14)</f>
        <v>1.1878696229692449</v>
      </c>
      <c r="H34" s="488">
        <f>INDEX(Data!$E$14:$E$30,MATCH(H$33,Data!$C$14:$C$30,0),0)/IF('RFPR cover'!$C$6="ED1",Data!$E$17,Data!$E$14)</f>
        <v>1.2080634065597218</v>
      </c>
      <c r="I34" s="489">
        <f>INDEX(Data!$E$14:$E$30,MATCH(I$33,Data!$C$14:$C$30,0),0)/IF('RFPR cover'!$C$6="ED1",Data!$E$17,Data!$E$14)</f>
        <v>1.2337347539491161</v>
      </c>
      <c r="J34" s="490">
        <f>INDEX(Data!$E$14:$E$30,MATCH(J$33,Data!$C$14:$C$30,0),0)/IF('RFPR cover'!$C$6="ED1",Data!$E$17,Data!$E$14)</f>
        <v>1.2655034238633056</v>
      </c>
    </row>
    <row r="35" spans="2:13" ht="15.75" customHeight="1">
      <c r="B35" s="494" t="s">
        <v>42</v>
      </c>
      <c r="C35" s="492">
        <f>INDEX(Data!$F$14:$F$30,MATCH(C$33,Data!$C$14:$C$30,0),0)/IF('RFPR cover'!$C$6="ED1",Data!$E$17,Data!$E$14)</f>
        <v>1.0677429242873198</v>
      </c>
      <c r="D35" s="492">
        <f>INDEX(Data!$F$14:$F$30,MATCH(D$33,Data!$C$14:$C$30,0),0)/IF('RFPR cover'!$C$6="ED1",Data!$E$17,Data!$E$14)</f>
        <v>1.1033002963114336</v>
      </c>
      <c r="E35" s="492">
        <f>INDEX(Data!$F$14:$F$30,MATCH(E$33,Data!$C$14:$C$30,0),0)/IF('RFPR cover'!$C$6="ED1",Data!$E$17,Data!$E$14)</f>
        <v>1.1402881373250229</v>
      </c>
      <c r="F35" s="492">
        <f>INDEX(Data!$F$14:$F$30,MATCH(F$33,Data!$C$14:$C$30,0),0)/IF('RFPR cover'!$C$6="ED1",Data!$E$17,Data!$E$14)</f>
        <v>1.171554102380709</v>
      </c>
      <c r="G35" s="492">
        <f>INDEX(Data!$F$14:$F$30,MATCH(G$33,Data!$C$14:$C$30,0),0)/IF('RFPR cover'!$C$6="ED1",Data!$E$17,Data!$E$14)</f>
        <v>1.1958720752017984</v>
      </c>
      <c r="H35" s="492">
        <f>INDEX(Data!$F$14:$F$30,MATCH(H$33,Data!$C$14:$C$30,0),0)/IF('RFPR cover'!$C$6="ED1",Data!$E$17,Data!$E$14)</f>
        <v>1.2162019004802289</v>
      </c>
      <c r="I35" s="492">
        <f>INDEX(Data!$F$14:$F$30,MATCH(I$33,Data!$C$14:$C$30,0),0)/IF('RFPR cover'!$C$6="ED1",Data!$E$17,Data!$E$14)</f>
        <v>1.2420461908654337</v>
      </c>
      <c r="J35" s="492">
        <f>INDEX(Data!$F$14:$F$30,MATCH(J$33,Data!$C$14:$C$30,0),0)/IF('RFPR cover'!$C$6="ED1",Data!$E$17,Data!$E$14)</f>
        <v>1.2740288802802187</v>
      </c>
    </row>
    <row r="36" spans="2:13">
      <c r="B36" s="494" t="s">
        <v>504</v>
      </c>
      <c r="C36" s="492">
        <f>INDEX(Data!$E$14:$E$30,MATCH(C$33,Data!$C$14:$C$30,0))/INDEX(Data!$E$14:$E$30,MATCH(C$33-1,Data!$C$14:$C$30,0))</f>
        <v>1.0107766093810269</v>
      </c>
      <c r="D36" s="492">
        <f>INDEX(Data!$E$14:$E$30,MATCH(D$33,Data!$C$14:$C$30,0))/INDEX(Data!$E$14:$E$30,MATCH(D$33-1,Data!$C$14:$C$30,0))</f>
        <v>1.0214274976583551</v>
      </c>
      <c r="E36" s="492">
        <f>INDEX(Data!$E$14:$E$30,MATCH(E$33,Data!$C$14:$C$30,0))/INDEX(Data!$E$14:$E$30,MATCH(E$33-1,Data!$C$14:$C$30,0))</f>
        <v>1.0374199975848328</v>
      </c>
      <c r="F36" s="492">
        <f>INDEX(Data!$E$14:$E$30,MATCH(F$33,Data!$C$14:$C$30,0))/INDEX(Data!$E$14:$E$30,MATCH(F$33-1,Data!$C$14:$C$30,0))</f>
        <v>1.0305556768082411</v>
      </c>
      <c r="G36" s="492">
        <f>INDEX(Data!$E$14:$E$30,MATCH(G$33,Data!$C$14:$C$30,0))/INDEX(Data!$E$14:$E$30,MATCH(G$33-1,Data!$C$14:$C$30,0))</f>
        <v>1.0258870204865376</v>
      </c>
      <c r="H36" s="492">
        <f>INDEX(Data!$E$14:$E$30,MATCH(H$33,Data!$C$14:$C$30,0))/INDEX(Data!$E$14:$E$30,MATCH(H$33-1,Data!$C$14:$C$30,0))</f>
        <v>1.0169999999999999</v>
      </c>
      <c r="I36" s="492">
        <f>INDEX(Data!$E$14:$E$30,MATCH(I$33,Data!$C$14:$C$30,0))/INDEX(Data!$E$14:$E$30,MATCH(I$33-1,Data!$C$14:$C$30,0))</f>
        <v>1.02125</v>
      </c>
      <c r="J36" s="492">
        <f>INDEX(Data!$E$14:$E$30,MATCH(J$33,Data!$C$14:$C$30,0))/INDEX(Data!$E$14:$E$30,MATCH(J$33-1,Data!$C$14:$C$30,0))</f>
        <v>1.0257499999999999</v>
      </c>
    </row>
    <row r="37" spans="2:13" ht="15.75" customHeight="1">
      <c r="B37" s="14" t="s">
        <v>275</v>
      </c>
      <c r="F37" s="515"/>
    </row>
    <row r="38" spans="2:13">
      <c r="C38" s="508" t="s">
        <v>276</v>
      </c>
      <c r="D38" s="116">
        <v>2017</v>
      </c>
      <c r="E38" s="117">
        <f t="shared" ref="E38:J38" si="2">D38+1</f>
        <v>2018</v>
      </c>
      <c r="F38" s="117">
        <f t="shared" si="2"/>
        <v>2019</v>
      </c>
      <c r="G38" s="117">
        <f t="shared" si="2"/>
        <v>2020</v>
      </c>
      <c r="H38" s="117">
        <f t="shared" si="2"/>
        <v>2021</v>
      </c>
      <c r="I38" s="117">
        <f t="shared" si="2"/>
        <v>2022</v>
      </c>
      <c r="J38" s="194">
        <f t="shared" si="2"/>
        <v>2023</v>
      </c>
      <c r="K38" s="979" t="s">
        <v>384</v>
      </c>
      <c r="L38" s="979"/>
      <c r="M38" s="979"/>
    </row>
    <row r="39" spans="2:13">
      <c r="B39" t="s">
        <v>385</v>
      </c>
      <c r="C39" s="199"/>
      <c r="D39" s="757"/>
      <c r="E39" s="757"/>
      <c r="F39" s="757"/>
      <c r="G39" s="758">
        <v>1.6E-2</v>
      </c>
      <c r="H39" s="758">
        <v>0.02</v>
      </c>
      <c r="I39" s="758">
        <v>2.5000000000000001E-2</v>
      </c>
      <c r="J39" s="759">
        <v>2.8000000000000001E-2</v>
      </c>
      <c r="K39" s="980" t="s">
        <v>634</v>
      </c>
      <c r="L39" s="980"/>
      <c r="M39" s="980"/>
    </row>
    <row r="41" spans="2:13">
      <c r="B41" s="14" t="s">
        <v>277</v>
      </c>
    </row>
    <row r="42" spans="2:13">
      <c r="C42" s="507" t="s">
        <v>278</v>
      </c>
      <c r="D42" s="116">
        <v>2017</v>
      </c>
      <c r="E42" s="117">
        <f t="shared" ref="E42:J42" si="3">D42+1</f>
        <v>2018</v>
      </c>
      <c r="F42" s="117">
        <f t="shared" si="3"/>
        <v>2019</v>
      </c>
      <c r="G42" s="117">
        <f t="shared" si="3"/>
        <v>2020</v>
      </c>
      <c r="H42" s="117">
        <f t="shared" si="3"/>
        <v>2021</v>
      </c>
      <c r="I42" s="117">
        <f t="shared" si="3"/>
        <v>2022</v>
      </c>
      <c r="J42" s="194">
        <f t="shared" si="3"/>
        <v>2023</v>
      </c>
    </row>
    <row r="43" spans="2:13">
      <c r="B43" t="s">
        <v>279</v>
      </c>
      <c r="D43" s="567"/>
      <c r="E43" s="568"/>
      <c r="F43" s="568"/>
      <c r="G43" s="568"/>
      <c r="H43" s="760">
        <f>(G39*0.75)+(H39*0.25)</f>
        <v>1.7000000000000001E-2</v>
      </c>
      <c r="I43" s="760">
        <f>(H39*0.75)+(I39*0.25)</f>
        <v>2.1249999999999998E-2</v>
      </c>
      <c r="J43" s="761">
        <f>(I39*0.75)+(J39*0.25)</f>
        <v>2.5750000000000002E-2</v>
      </c>
    </row>
    <row r="45" spans="2:13">
      <c r="B45" s="313" t="str">
        <f>"Selected Capitalisation rates for "&amp;'RFPR cover'!C5</f>
        <v>Selected Capitalisation rates for WPD-SWALES</v>
      </c>
      <c r="C45" s="270"/>
      <c r="D45" s="270"/>
      <c r="E45" s="270"/>
      <c r="F45" s="270"/>
      <c r="G45" s="270"/>
      <c r="H45" s="270"/>
      <c r="I45" s="270"/>
      <c r="J45" s="270"/>
      <c r="K45" s="270"/>
      <c r="L45" s="270"/>
      <c r="M45" s="283"/>
    </row>
    <row r="46" spans="2:13">
      <c r="B46" s="200"/>
      <c r="C46" s="42"/>
      <c r="D46" s="42"/>
      <c r="E46" s="42"/>
      <c r="F46" s="42"/>
      <c r="G46" s="42"/>
      <c r="H46" s="42"/>
      <c r="I46" s="42"/>
      <c r="J46" s="42"/>
      <c r="K46" s="42"/>
      <c r="L46" s="42"/>
      <c r="M46" s="201"/>
    </row>
    <row r="47" spans="2:13">
      <c r="B47" s="200"/>
      <c r="C47" s="312" t="s">
        <v>252</v>
      </c>
      <c r="D47" s="42"/>
      <c r="E47" s="42"/>
      <c r="F47" s="42"/>
      <c r="G47" s="42"/>
      <c r="H47" s="42"/>
      <c r="I47" s="42"/>
      <c r="J47" s="42"/>
      <c r="K47" s="42"/>
      <c r="L47" s="42"/>
      <c r="M47" s="201"/>
    </row>
    <row r="48" spans="2:13">
      <c r="B48" s="315" t="str">
        <f>INDEX($G$54:$G$57,MATCH(LEFT('RFPR cover'!$C$6,2),Data!$E$54:$E$57,0),0)</f>
        <v>Totex</v>
      </c>
      <c r="C48" s="311">
        <f>INDEX($F$73:$F$100,MATCH('RFPR cover'!$C$5,Data!$B$73:$B$100,0),0)</f>
        <v>0.8</v>
      </c>
      <c r="D48" s="42"/>
      <c r="E48" s="42"/>
      <c r="F48" s="42"/>
      <c r="G48" s="42"/>
      <c r="H48" s="42"/>
      <c r="I48" s="42"/>
      <c r="J48" s="42"/>
      <c r="K48" s="42"/>
      <c r="L48" s="42"/>
      <c r="M48" s="201"/>
    </row>
    <row r="49" spans="2:20">
      <c r="B49" s="316"/>
      <c r="C49" s="42"/>
      <c r="D49" s="42"/>
      <c r="E49" s="42"/>
      <c r="F49" s="42"/>
      <c r="G49" s="42"/>
      <c r="H49" s="42"/>
      <c r="I49" s="42"/>
      <c r="J49" s="42"/>
      <c r="K49" s="42"/>
      <c r="L49" s="42"/>
      <c r="M49" s="201"/>
    </row>
    <row r="50" spans="2:20">
      <c r="B50" s="316"/>
      <c r="C50" s="89">
        <v>2014</v>
      </c>
      <c r="D50" s="90">
        <f t="shared" ref="D50:J50" si="4">C50+1</f>
        <v>2015</v>
      </c>
      <c r="E50" s="90">
        <f t="shared" si="4"/>
        <v>2016</v>
      </c>
      <c r="F50" s="90">
        <f t="shared" si="4"/>
        <v>2017</v>
      </c>
      <c r="G50" s="90">
        <f t="shared" si="4"/>
        <v>2018</v>
      </c>
      <c r="H50" s="90">
        <f t="shared" si="4"/>
        <v>2019</v>
      </c>
      <c r="I50" s="90">
        <f t="shared" si="4"/>
        <v>2020</v>
      </c>
      <c r="J50" s="90">
        <f t="shared" si="4"/>
        <v>2021</v>
      </c>
      <c r="K50" s="42"/>
      <c r="L50" s="42"/>
      <c r="M50" s="201"/>
    </row>
    <row r="51" spans="2:20">
      <c r="B51" s="315" t="str">
        <f>INDEX($J$54:$J$57,MATCH(LEFT('RFPR cover'!$C$6,2),Data!$E$54:$E$57,0),0)</f>
        <v>n/a</v>
      </c>
      <c r="C51" s="317">
        <f>IFERROR(INDEX(C$106:C$115,MATCH('RFPR cover'!$C$5,Data!$B$106:$B$115,0),0),0)</f>
        <v>0</v>
      </c>
      <c r="D51" s="299">
        <f>IFERROR(INDEX(D$106:D$115,MATCH('RFPR cover'!$C$5,Data!$B$106:$B$115,0),0),0)</f>
        <v>0</v>
      </c>
      <c r="E51" s="299">
        <f>IFERROR(INDEX(E$106:E$115,MATCH('RFPR cover'!$C$5,Data!$B$106:$B$115,0),0),0)</f>
        <v>0</v>
      </c>
      <c r="F51" s="299">
        <f>IFERROR(INDEX(F$106:F$115,MATCH('RFPR cover'!$C$5,Data!$B$106:$B$115,0),0),0)</f>
        <v>0</v>
      </c>
      <c r="G51" s="299">
        <f>IFERROR(INDEX(G$106:G$115,MATCH('RFPR cover'!$C$5,Data!$B$106:$B$115,0),0),0)</f>
        <v>0</v>
      </c>
      <c r="H51" s="299">
        <f>IFERROR(INDEX(H$106:H$115,MATCH('RFPR cover'!$C$5,Data!$B$106:$B$115,0),0),0)</f>
        <v>0</v>
      </c>
      <c r="I51" s="299">
        <f>IFERROR(INDEX(I$106:I$115,MATCH('RFPR cover'!$C$5,Data!$B$106:$B$115,0),0),0)</f>
        <v>0</v>
      </c>
      <c r="J51" s="299">
        <f>IFERROR(INDEX(J$106:J$115,MATCH('RFPR cover'!$C$5,Data!$B$106:$B$115,0),0),0)</f>
        <v>0</v>
      </c>
      <c r="K51" s="42"/>
      <c r="L51" s="42"/>
      <c r="M51" s="201"/>
    </row>
    <row r="52" spans="2:20">
      <c r="B52" s="293"/>
      <c r="C52" s="294"/>
      <c r="D52" s="294"/>
      <c r="E52" s="294"/>
      <c r="F52" s="294"/>
      <c r="G52" s="294"/>
      <c r="H52" s="294"/>
      <c r="I52" s="294"/>
      <c r="J52" s="294"/>
      <c r="K52" s="294"/>
      <c r="L52" s="294"/>
      <c r="M52" s="295"/>
    </row>
    <row r="53" spans="2:20">
      <c r="B53" s="42"/>
      <c r="C53" s="42"/>
      <c r="D53" s="42"/>
      <c r="E53" s="42"/>
      <c r="F53" s="42"/>
      <c r="G53" s="42"/>
      <c r="H53" s="42"/>
      <c r="I53" s="42"/>
      <c r="J53" s="42"/>
      <c r="K53" s="42"/>
    </row>
    <row r="54" spans="2:20">
      <c r="B54" s="303"/>
      <c r="C54" s="303"/>
      <c r="E54" s="300" t="s">
        <v>172</v>
      </c>
      <c r="F54" s="329" t="s">
        <v>159</v>
      </c>
      <c r="G54" s="984" t="s">
        <v>253</v>
      </c>
      <c r="H54" s="985"/>
      <c r="I54" s="986"/>
      <c r="J54" s="993" t="s">
        <v>255</v>
      </c>
      <c r="K54" s="994"/>
    </row>
    <row r="55" spans="2:20">
      <c r="B55" s="303"/>
      <c r="C55" s="303"/>
      <c r="E55" s="301" t="s">
        <v>174</v>
      </c>
      <c r="F55" s="330" t="s">
        <v>184</v>
      </c>
      <c r="G55" s="987" t="s">
        <v>253</v>
      </c>
      <c r="H55" s="988"/>
      <c r="I55" s="989"/>
      <c r="J55" s="995" t="s">
        <v>255</v>
      </c>
      <c r="K55" s="996"/>
    </row>
    <row r="56" spans="2:20">
      <c r="B56" s="303"/>
      <c r="C56" s="303"/>
      <c r="E56" s="301" t="s">
        <v>173</v>
      </c>
      <c r="F56" s="330" t="s">
        <v>184</v>
      </c>
      <c r="G56" s="987" t="s">
        <v>244</v>
      </c>
      <c r="H56" s="988"/>
      <c r="I56" s="989"/>
      <c r="J56" s="995" t="s">
        <v>245</v>
      </c>
      <c r="K56" s="996"/>
    </row>
    <row r="57" spans="2:20">
      <c r="B57" s="303"/>
      <c r="C57" s="303"/>
      <c r="E57" s="302" t="s">
        <v>175</v>
      </c>
      <c r="F57" s="331" t="s">
        <v>184</v>
      </c>
      <c r="G57" s="990" t="s">
        <v>254</v>
      </c>
      <c r="H57" s="991"/>
      <c r="I57" s="992"/>
      <c r="J57" s="997" t="s">
        <v>256</v>
      </c>
      <c r="K57" s="998"/>
    </row>
    <row r="58" spans="2:20">
      <c r="B58" s="303"/>
      <c r="C58" s="303"/>
      <c r="E58" s="303"/>
      <c r="F58" s="442"/>
      <c r="G58" s="443"/>
      <c r="H58" s="443"/>
      <c r="I58" s="443"/>
      <c r="J58" s="444"/>
      <c r="K58" s="444"/>
    </row>
    <row r="59" spans="2:20">
      <c r="B59" s="445"/>
      <c r="C59" s="445"/>
      <c r="D59" s="216"/>
      <c r="E59" s="445"/>
      <c r="F59" s="446"/>
      <c r="G59" s="447"/>
      <c r="H59" s="447"/>
      <c r="I59" s="447"/>
      <c r="J59" s="448"/>
      <c r="K59" s="448"/>
      <c r="L59" s="216"/>
      <c r="M59" s="216"/>
      <c r="N59" s="216"/>
      <c r="O59" s="216"/>
      <c r="P59" s="216"/>
      <c r="Q59" s="216"/>
      <c r="R59" s="216"/>
      <c r="S59" s="216"/>
      <c r="T59" s="216"/>
    </row>
    <row r="60" spans="2:20" s="31" customFormat="1">
      <c r="B60" s="396"/>
      <c r="C60" s="396"/>
      <c r="E60" s="396"/>
      <c r="F60" s="449"/>
      <c r="G60" s="450"/>
      <c r="H60" s="450"/>
      <c r="I60" s="450"/>
      <c r="J60" s="451"/>
      <c r="K60" s="451"/>
    </row>
    <row r="61" spans="2:20">
      <c r="B61" s="441" t="s">
        <v>351</v>
      </c>
      <c r="I61" s="67"/>
    </row>
    <row r="62" spans="2:20">
      <c r="C62" s="116">
        <v>2014</v>
      </c>
      <c r="D62" s="117">
        <f t="shared" ref="D62:L62" si="5">C62+1</f>
        <v>2015</v>
      </c>
      <c r="E62" s="117">
        <f t="shared" si="5"/>
        <v>2016</v>
      </c>
      <c r="F62" s="117">
        <f t="shared" si="5"/>
        <v>2017</v>
      </c>
      <c r="G62" s="117">
        <f t="shared" si="5"/>
        <v>2018</v>
      </c>
      <c r="H62" s="117">
        <f t="shared" si="5"/>
        <v>2019</v>
      </c>
      <c r="I62" s="117">
        <f t="shared" si="5"/>
        <v>2020</v>
      </c>
      <c r="J62" s="117">
        <f t="shared" si="5"/>
        <v>2021</v>
      </c>
      <c r="K62" s="117">
        <f t="shared" si="5"/>
        <v>2022</v>
      </c>
      <c r="L62" s="194">
        <f t="shared" si="5"/>
        <v>2023</v>
      </c>
    </row>
    <row r="63" spans="2:20">
      <c r="B63" s="438" t="s">
        <v>349</v>
      </c>
      <c r="C63" s="563"/>
      <c r="D63" s="564"/>
      <c r="E63" s="436">
        <v>2.5499999999999998E-2</v>
      </c>
      <c r="F63" s="436">
        <v>2.3799999999999998E-2</v>
      </c>
      <c r="G63" s="436">
        <v>2.2200000000000001E-2</v>
      </c>
      <c r="H63" s="436">
        <v>1.9099999999999999E-2</v>
      </c>
      <c r="I63" s="436">
        <v>1.5800000000000002E-2</v>
      </c>
      <c r="J63" s="436">
        <v>1.09E-2</v>
      </c>
      <c r="K63" s="436">
        <v>7.7000000000000002E-3</v>
      </c>
      <c r="L63" s="437">
        <v>4.5999999999999999E-3</v>
      </c>
    </row>
    <row r="64" spans="2:20">
      <c r="B64" s="439" t="s">
        <v>336</v>
      </c>
      <c r="C64" s="551"/>
      <c r="D64" s="552"/>
      <c r="E64" s="398">
        <v>2.5499999999999998E-2</v>
      </c>
      <c r="F64" s="398">
        <v>2.4199999999999999E-2</v>
      </c>
      <c r="G64" s="398">
        <v>2.29E-2</v>
      </c>
      <c r="H64" s="398">
        <v>2.0899999999999998E-2</v>
      </c>
      <c r="I64" s="398">
        <v>1.9400000000000001E-2</v>
      </c>
      <c r="J64" s="398">
        <v>1.78E-2</v>
      </c>
      <c r="K64" s="398">
        <v>1.6299999999999999E-2</v>
      </c>
      <c r="L64" s="401">
        <v>1.4800000000000001E-2</v>
      </c>
    </row>
    <row r="65" spans="1:20">
      <c r="B65" s="439" t="s">
        <v>61</v>
      </c>
      <c r="C65" s="397">
        <v>2.92E-2</v>
      </c>
      <c r="D65" s="398">
        <v>2.5000000000000001E-2</v>
      </c>
      <c r="E65" s="398">
        <v>2.1499999999999998E-2</v>
      </c>
      <c r="F65" s="398">
        <v>1.7899999999999999E-2</v>
      </c>
      <c r="G65" s="398">
        <v>1.5100000000000001E-2</v>
      </c>
      <c r="H65" s="398">
        <v>1.1599999999999999E-2</v>
      </c>
      <c r="I65" s="398">
        <v>1.0200000000000001E-2</v>
      </c>
      <c r="J65" s="398">
        <v>8.3000000000000001E-3</v>
      </c>
      <c r="K65" s="565"/>
      <c r="L65" s="566"/>
    </row>
    <row r="66" spans="1:20">
      <c r="B66" s="439" t="s">
        <v>350</v>
      </c>
      <c r="C66" s="434">
        <v>2.92E-2</v>
      </c>
      <c r="D66" s="435">
        <v>2.7199999999999998E-2</v>
      </c>
      <c r="E66" s="435">
        <v>2.5499999999999998E-2</v>
      </c>
      <c r="F66" s="435">
        <v>2.3800000000000002E-2</v>
      </c>
      <c r="G66" s="435">
        <v>2.2200000000000001E-2</v>
      </c>
      <c r="H66" s="435">
        <v>1.9099999999999999E-2</v>
      </c>
      <c r="I66" s="435">
        <v>1.5800000000000002E-2</v>
      </c>
      <c r="J66" s="435">
        <v>1.09E-2</v>
      </c>
      <c r="K66" s="552"/>
      <c r="L66" s="553"/>
    </row>
    <row r="67" spans="1:20">
      <c r="B67" s="439" t="s">
        <v>173</v>
      </c>
      <c r="C67" s="397">
        <v>2.92E-2</v>
      </c>
      <c r="D67" s="398">
        <v>2.7199999999999998E-2</v>
      </c>
      <c r="E67" s="398">
        <v>2.5499999999999998E-2</v>
      </c>
      <c r="F67" s="398">
        <v>2.3800000000000002E-2</v>
      </c>
      <c r="G67" s="398">
        <v>2.2200000000000001E-2</v>
      </c>
      <c r="H67" s="435">
        <v>1.9099999999999999E-2</v>
      </c>
      <c r="I67" s="435">
        <v>1.5800000000000002E-2</v>
      </c>
      <c r="J67" s="435">
        <v>1.09E-2</v>
      </c>
      <c r="K67" s="552"/>
      <c r="L67" s="553"/>
    </row>
    <row r="68" spans="1:20">
      <c r="B68" s="440" t="s">
        <v>175</v>
      </c>
      <c r="C68" s="399">
        <v>2.92E-2</v>
      </c>
      <c r="D68" s="400">
        <v>2.7199999999999998E-2</v>
      </c>
      <c r="E68" s="400">
        <v>2.5499999999999998E-2</v>
      </c>
      <c r="F68" s="400">
        <v>2.3800000000000002E-2</v>
      </c>
      <c r="G68" s="400">
        <v>2.2200000000000001E-2</v>
      </c>
      <c r="H68" s="400">
        <v>1.9099999999999999E-2</v>
      </c>
      <c r="I68" s="400">
        <v>1.5800000000000002E-2</v>
      </c>
      <c r="J68" s="400">
        <v>1.09E-2</v>
      </c>
      <c r="K68" s="554"/>
      <c r="L68" s="555"/>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28" t="s">
        <v>269</v>
      </c>
      <c r="J71" s="328" t="s">
        <v>481</v>
      </c>
      <c r="K71" s="981" t="s">
        <v>345</v>
      </c>
      <c r="L71" s="982"/>
      <c r="M71" s="982"/>
      <c r="N71" s="982"/>
      <c r="O71" s="982"/>
      <c r="P71" s="982"/>
      <c r="Q71" s="982"/>
      <c r="R71" s="982"/>
      <c r="S71" s="982"/>
      <c r="T71" s="983"/>
    </row>
    <row r="72" spans="1:20">
      <c r="A72" s="332" t="s">
        <v>189</v>
      </c>
      <c r="B72" s="68" t="s">
        <v>69</v>
      </c>
      <c r="C72" s="304"/>
      <c r="D72" s="70"/>
      <c r="E72" s="69"/>
      <c r="F72" s="69"/>
      <c r="G72" s="70"/>
      <c r="H72" s="71"/>
      <c r="I72" s="71"/>
      <c r="J72" s="421"/>
      <c r="K72" s="422">
        <v>2014</v>
      </c>
      <c r="L72" s="423">
        <f t="shared" ref="L72:T72" si="6">K72+1</f>
        <v>2015</v>
      </c>
      <c r="M72" s="423">
        <f t="shared" si="6"/>
        <v>2016</v>
      </c>
      <c r="N72" s="423">
        <f t="shared" si="6"/>
        <v>2017</v>
      </c>
      <c r="O72" s="423">
        <f t="shared" si="6"/>
        <v>2018</v>
      </c>
      <c r="P72" s="423">
        <f t="shared" si="6"/>
        <v>2019</v>
      </c>
      <c r="Q72" s="423">
        <f t="shared" si="6"/>
        <v>2020</v>
      </c>
      <c r="R72" s="423">
        <f t="shared" si="6"/>
        <v>2021</v>
      </c>
      <c r="S72" s="423">
        <f t="shared" si="6"/>
        <v>2022</v>
      </c>
      <c r="T72" s="424">
        <f t="shared" si="6"/>
        <v>2023</v>
      </c>
    </row>
    <row r="73" spans="1:20">
      <c r="A73" s="60" t="s">
        <v>172</v>
      </c>
      <c r="B73" s="72" t="s">
        <v>43</v>
      </c>
      <c r="C73" s="305">
        <v>0.06</v>
      </c>
      <c r="D73" s="306">
        <v>0.58109999999999995</v>
      </c>
      <c r="E73" s="307">
        <v>0.65</v>
      </c>
      <c r="F73" s="307">
        <v>0.68</v>
      </c>
      <c r="G73" s="337">
        <v>2016</v>
      </c>
      <c r="H73" s="338" t="str">
        <f t="shared" ref="H73:H97" si="7">VLOOKUP($A73,$E$54:$F$57,2,FALSE)</f>
        <v>£m 12/13</v>
      </c>
      <c r="I73" s="338" t="s">
        <v>270</v>
      </c>
      <c r="J73" s="421" t="s">
        <v>482</v>
      </c>
      <c r="K73" s="551"/>
      <c r="L73" s="552"/>
      <c r="M73" s="429">
        <f t="shared" ref="M73:M82" si="8">E$64</f>
        <v>2.5499999999999998E-2</v>
      </c>
      <c r="N73" s="429">
        <f t="shared" ref="N73:N82" si="9">F$64</f>
        <v>2.4199999999999999E-2</v>
      </c>
      <c r="O73" s="429">
        <f t="shared" ref="O73:O82" si="10">G$64</f>
        <v>2.29E-2</v>
      </c>
      <c r="P73" s="429">
        <f t="shared" ref="P73:P82" si="11">H$64</f>
        <v>2.0899999999999998E-2</v>
      </c>
      <c r="Q73" s="429">
        <f t="shared" ref="Q73:Q82" si="12">I$64</f>
        <v>1.9400000000000001E-2</v>
      </c>
      <c r="R73" s="429">
        <f t="shared" ref="R73:R82" si="13">J$64</f>
        <v>1.78E-2</v>
      </c>
      <c r="S73" s="429">
        <f t="shared" ref="S73:S82" si="14">K$64</f>
        <v>1.6299999999999999E-2</v>
      </c>
      <c r="T73" s="433">
        <f t="shared" ref="T73:T82" si="15">L$64</f>
        <v>1.4800000000000001E-2</v>
      </c>
    </row>
    <row r="74" spans="1:20">
      <c r="A74" s="60" t="s">
        <v>172</v>
      </c>
      <c r="B74" s="72" t="s">
        <v>44</v>
      </c>
      <c r="C74" s="305">
        <v>0.06</v>
      </c>
      <c r="D74" s="306">
        <v>0.55843703457782867</v>
      </c>
      <c r="E74" s="307">
        <v>0.65</v>
      </c>
      <c r="F74" s="307">
        <v>0.7</v>
      </c>
      <c r="G74" s="337">
        <v>2016</v>
      </c>
      <c r="H74" s="338" t="str">
        <f t="shared" si="7"/>
        <v>£m 12/13</v>
      </c>
      <c r="I74" s="338" t="s">
        <v>270</v>
      </c>
      <c r="J74" s="421" t="s">
        <v>482</v>
      </c>
      <c r="K74" s="551"/>
      <c r="L74" s="552"/>
      <c r="M74" s="429">
        <f t="shared" si="8"/>
        <v>2.5499999999999998E-2</v>
      </c>
      <c r="N74" s="429">
        <f t="shared" si="9"/>
        <v>2.4199999999999999E-2</v>
      </c>
      <c r="O74" s="429">
        <f t="shared" si="10"/>
        <v>2.29E-2</v>
      </c>
      <c r="P74" s="429">
        <f t="shared" si="11"/>
        <v>2.0899999999999998E-2</v>
      </c>
      <c r="Q74" s="429">
        <f t="shared" si="12"/>
        <v>1.9400000000000001E-2</v>
      </c>
      <c r="R74" s="429">
        <f t="shared" si="13"/>
        <v>1.78E-2</v>
      </c>
      <c r="S74" s="429">
        <f t="shared" si="14"/>
        <v>1.6299999999999999E-2</v>
      </c>
      <c r="T74" s="433">
        <f t="shared" si="15"/>
        <v>1.4800000000000001E-2</v>
      </c>
    </row>
    <row r="75" spans="1:20">
      <c r="A75" s="60" t="s">
        <v>172</v>
      </c>
      <c r="B75" s="72" t="s">
        <v>73</v>
      </c>
      <c r="C75" s="305">
        <v>0.06</v>
      </c>
      <c r="D75" s="306">
        <v>0.55843703457782867</v>
      </c>
      <c r="E75" s="307">
        <v>0.65</v>
      </c>
      <c r="F75" s="307">
        <v>0.72</v>
      </c>
      <c r="G75" s="337">
        <v>2016</v>
      </c>
      <c r="H75" s="338" t="str">
        <f t="shared" si="7"/>
        <v>£m 12/13</v>
      </c>
      <c r="I75" s="338" t="s">
        <v>270</v>
      </c>
      <c r="J75" s="421" t="s">
        <v>482</v>
      </c>
      <c r="K75" s="551"/>
      <c r="L75" s="552"/>
      <c r="M75" s="429">
        <f t="shared" si="8"/>
        <v>2.5499999999999998E-2</v>
      </c>
      <c r="N75" s="429">
        <f t="shared" si="9"/>
        <v>2.4199999999999999E-2</v>
      </c>
      <c r="O75" s="429">
        <f t="shared" si="10"/>
        <v>2.29E-2</v>
      </c>
      <c r="P75" s="429">
        <f t="shared" si="11"/>
        <v>2.0899999999999998E-2</v>
      </c>
      <c r="Q75" s="429">
        <f t="shared" si="12"/>
        <v>1.9400000000000001E-2</v>
      </c>
      <c r="R75" s="429">
        <f t="shared" si="13"/>
        <v>1.78E-2</v>
      </c>
      <c r="S75" s="429">
        <f t="shared" si="14"/>
        <v>1.6299999999999999E-2</v>
      </c>
      <c r="T75" s="433">
        <f t="shared" si="15"/>
        <v>1.4800000000000001E-2</v>
      </c>
    </row>
    <row r="76" spans="1:20">
      <c r="A76" s="60" t="s">
        <v>172</v>
      </c>
      <c r="B76" s="72" t="s">
        <v>59</v>
      </c>
      <c r="C76" s="305">
        <v>0.06</v>
      </c>
      <c r="D76" s="306">
        <v>0.53280000000000005</v>
      </c>
      <c r="E76" s="307">
        <v>0.65</v>
      </c>
      <c r="F76" s="307">
        <v>0.68</v>
      </c>
      <c r="G76" s="337">
        <v>2016</v>
      </c>
      <c r="H76" s="338" t="str">
        <f t="shared" si="7"/>
        <v>£m 12/13</v>
      </c>
      <c r="I76" s="338" t="s">
        <v>270</v>
      </c>
      <c r="J76" s="421" t="s">
        <v>482</v>
      </c>
      <c r="K76" s="551"/>
      <c r="L76" s="552"/>
      <c r="M76" s="429">
        <f t="shared" si="8"/>
        <v>2.5499999999999998E-2</v>
      </c>
      <c r="N76" s="429">
        <f t="shared" si="9"/>
        <v>2.4199999999999999E-2</v>
      </c>
      <c r="O76" s="429">
        <f t="shared" si="10"/>
        <v>2.29E-2</v>
      </c>
      <c r="P76" s="429">
        <f t="shared" si="11"/>
        <v>2.0899999999999998E-2</v>
      </c>
      <c r="Q76" s="429">
        <f t="shared" si="12"/>
        <v>1.9400000000000001E-2</v>
      </c>
      <c r="R76" s="429">
        <f t="shared" si="13"/>
        <v>1.78E-2</v>
      </c>
      <c r="S76" s="429">
        <f t="shared" si="14"/>
        <v>1.6299999999999999E-2</v>
      </c>
      <c r="T76" s="433">
        <f t="shared" si="15"/>
        <v>1.4800000000000001E-2</v>
      </c>
    </row>
    <row r="77" spans="1:20">
      <c r="A77" s="60" t="s">
        <v>172</v>
      </c>
      <c r="B77" s="72" t="s">
        <v>57</v>
      </c>
      <c r="C77" s="305">
        <v>0.06</v>
      </c>
      <c r="D77" s="306">
        <v>0.53280000000000005</v>
      </c>
      <c r="E77" s="307">
        <v>0.65</v>
      </c>
      <c r="F77" s="307">
        <v>0.68</v>
      </c>
      <c r="G77" s="337">
        <v>2016</v>
      </c>
      <c r="H77" s="338" t="str">
        <f t="shared" si="7"/>
        <v>£m 12/13</v>
      </c>
      <c r="I77" s="338" t="s">
        <v>270</v>
      </c>
      <c r="J77" s="421" t="s">
        <v>482</v>
      </c>
      <c r="K77" s="551"/>
      <c r="L77" s="552"/>
      <c r="M77" s="429">
        <f t="shared" si="8"/>
        <v>2.5499999999999998E-2</v>
      </c>
      <c r="N77" s="429">
        <f t="shared" si="9"/>
        <v>2.4199999999999999E-2</v>
      </c>
      <c r="O77" s="429">
        <f t="shared" si="10"/>
        <v>2.29E-2</v>
      </c>
      <c r="P77" s="429">
        <f t="shared" si="11"/>
        <v>2.0899999999999998E-2</v>
      </c>
      <c r="Q77" s="429">
        <f t="shared" si="12"/>
        <v>1.9400000000000001E-2</v>
      </c>
      <c r="R77" s="429">
        <f t="shared" si="13"/>
        <v>1.78E-2</v>
      </c>
      <c r="S77" s="429">
        <f t="shared" si="14"/>
        <v>1.6299999999999999E-2</v>
      </c>
      <c r="T77" s="433">
        <f t="shared" si="15"/>
        <v>1.4800000000000001E-2</v>
      </c>
    </row>
    <row r="78" spans="1:20">
      <c r="A78" s="60" t="s">
        <v>172</v>
      </c>
      <c r="B78" s="72" t="s">
        <v>58</v>
      </c>
      <c r="C78" s="305">
        <v>0.06</v>
      </c>
      <c r="D78" s="306">
        <v>0.53280000000000005</v>
      </c>
      <c r="E78" s="307">
        <v>0.65</v>
      </c>
      <c r="F78" s="307">
        <v>0.68</v>
      </c>
      <c r="G78" s="337">
        <v>2016</v>
      </c>
      <c r="H78" s="338" t="str">
        <f t="shared" si="7"/>
        <v>£m 12/13</v>
      </c>
      <c r="I78" s="338" t="s">
        <v>270</v>
      </c>
      <c r="J78" s="421" t="s">
        <v>482</v>
      </c>
      <c r="K78" s="551"/>
      <c r="L78" s="552"/>
      <c r="M78" s="429">
        <f t="shared" si="8"/>
        <v>2.5499999999999998E-2</v>
      </c>
      <c r="N78" s="429">
        <f t="shared" si="9"/>
        <v>2.4199999999999999E-2</v>
      </c>
      <c r="O78" s="429">
        <f t="shared" si="10"/>
        <v>2.29E-2</v>
      </c>
      <c r="P78" s="429">
        <f t="shared" si="11"/>
        <v>2.0899999999999998E-2</v>
      </c>
      <c r="Q78" s="429">
        <f t="shared" si="12"/>
        <v>1.9400000000000001E-2</v>
      </c>
      <c r="R78" s="429">
        <f t="shared" si="13"/>
        <v>1.78E-2</v>
      </c>
      <c r="S78" s="429">
        <f t="shared" si="14"/>
        <v>1.6299999999999999E-2</v>
      </c>
      <c r="T78" s="433">
        <f t="shared" si="15"/>
        <v>1.4800000000000001E-2</v>
      </c>
    </row>
    <row r="79" spans="1:20">
      <c r="A79" s="60" t="s">
        <v>172</v>
      </c>
      <c r="B79" s="72" t="s">
        <v>45</v>
      </c>
      <c r="C79" s="305">
        <v>0.06</v>
      </c>
      <c r="D79" s="306">
        <v>0.53500000000000003</v>
      </c>
      <c r="E79" s="307">
        <v>0.65</v>
      </c>
      <c r="F79" s="307">
        <v>0.8</v>
      </c>
      <c r="G79" s="337">
        <v>2016</v>
      </c>
      <c r="H79" s="338" t="str">
        <f t="shared" si="7"/>
        <v>£m 12/13</v>
      </c>
      <c r="I79" s="338" t="s">
        <v>270</v>
      </c>
      <c r="J79" s="421" t="s">
        <v>482</v>
      </c>
      <c r="K79" s="551"/>
      <c r="L79" s="552"/>
      <c r="M79" s="429">
        <f t="shared" si="8"/>
        <v>2.5499999999999998E-2</v>
      </c>
      <c r="N79" s="429">
        <f t="shared" si="9"/>
        <v>2.4199999999999999E-2</v>
      </c>
      <c r="O79" s="429">
        <f t="shared" si="10"/>
        <v>2.29E-2</v>
      </c>
      <c r="P79" s="429">
        <f t="shared" si="11"/>
        <v>2.0899999999999998E-2</v>
      </c>
      <c r="Q79" s="429">
        <f t="shared" si="12"/>
        <v>1.9400000000000001E-2</v>
      </c>
      <c r="R79" s="429">
        <f t="shared" si="13"/>
        <v>1.78E-2</v>
      </c>
      <c r="S79" s="429">
        <f t="shared" si="14"/>
        <v>1.6299999999999999E-2</v>
      </c>
      <c r="T79" s="433">
        <f t="shared" si="15"/>
        <v>1.4800000000000001E-2</v>
      </c>
    </row>
    <row r="80" spans="1:20">
      <c r="A80" s="60" t="s">
        <v>172</v>
      </c>
      <c r="B80" s="72" t="s">
        <v>46</v>
      </c>
      <c r="C80" s="305">
        <v>0.06</v>
      </c>
      <c r="D80" s="306">
        <v>0.53500000000000003</v>
      </c>
      <c r="E80" s="307">
        <v>0.65</v>
      </c>
      <c r="F80" s="307">
        <v>0.8</v>
      </c>
      <c r="G80" s="337">
        <v>2016</v>
      </c>
      <c r="H80" s="338" t="str">
        <f t="shared" si="7"/>
        <v>£m 12/13</v>
      </c>
      <c r="I80" s="338" t="s">
        <v>270</v>
      </c>
      <c r="J80" s="421" t="s">
        <v>482</v>
      </c>
      <c r="K80" s="551"/>
      <c r="L80" s="552"/>
      <c r="M80" s="429">
        <f t="shared" si="8"/>
        <v>2.5499999999999998E-2</v>
      </c>
      <c r="N80" s="429">
        <f t="shared" si="9"/>
        <v>2.4199999999999999E-2</v>
      </c>
      <c r="O80" s="429">
        <f t="shared" si="10"/>
        <v>2.29E-2</v>
      </c>
      <c r="P80" s="429">
        <f t="shared" si="11"/>
        <v>2.0899999999999998E-2</v>
      </c>
      <c r="Q80" s="429">
        <f t="shared" si="12"/>
        <v>1.9400000000000001E-2</v>
      </c>
      <c r="R80" s="429">
        <f t="shared" si="13"/>
        <v>1.78E-2</v>
      </c>
      <c r="S80" s="429">
        <f t="shared" si="14"/>
        <v>1.6299999999999999E-2</v>
      </c>
      <c r="T80" s="433">
        <f t="shared" si="15"/>
        <v>1.4800000000000001E-2</v>
      </c>
    </row>
    <row r="81" spans="1:20">
      <c r="A81" s="60" t="s">
        <v>172</v>
      </c>
      <c r="B81" s="72" t="s">
        <v>47</v>
      </c>
      <c r="C81" s="305">
        <v>0.06</v>
      </c>
      <c r="D81" s="306">
        <v>0.56469999999999998</v>
      </c>
      <c r="E81" s="307">
        <v>0.65</v>
      </c>
      <c r="F81" s="307">
        <v>0.62</v>
      </c>
      <c r="G81" s="337">
        <v>2016</v>
      </c>
      <c r="H81" s="338" t="str">
        <f t="shared" si="7"/>
        <v>£m 12/13</v>
      </c>
      <c r="I81" s="338" t="s">
        <v>270</v>
      </c>
      <c r="J81" s="421" t="s">
        <v>482</v>
      </c>
      <c r="K81" s="551"/>
      <c r="L81" s="552"/>
      <c r="M81" s="429">
        <f t="shared" si="8"/>
        <v>2.5499999999999998E-2</v>
      </c>
      <c r="N81" s="429">
        <f t="shared" si="9"/>
        <v>2.4199999999999999E-2</v>
      </c>
      <c r="O81" s="429">
        <f t="shared" si="10"/>
        <v>2.29E-2</v>
      </c>
      <c r="P81" s="429">
        <f t="shared" si="11"/>
        <v>2.0899999999999998E-2</v>
      </c>
      <c r="Q81" s="429">
        <f t="shared" si="12"/>
        <v>1.9400000000000001E-2</v>
      </c>
      <c r="R81" s="429">
        <f t="shared" si="13"/>
        <v>1.78E-2</v>
      </c>
      <c r="S81" s="429">
        <f t="shared" si="14"/>
        <v>1.6299999999999999E-2</v>
      </c>
      <c r="T81" s="433">
        <f t="shared" si="15"/>
        <v>1.4800000000000001E-2</v>
      </c>
    </row>
    <row r="82" spans="1:20">
      <c r="A82" s="60" t="s">
        <v>172</v>
      </c>
      <c r="B82" s="72" t="s">
        <v>48</v>
      </c>
      <c r="C82" s="305">
        <v>0.06</v>
      </c>
      <c r="D82" s="306">
        <v>0.56469999999999998</v>
      </c>
      <c r="E82" s="307">
        <v>0.65</v>
      </c>
      <c r="F82" s="307">
        <v>0.7</v>
      </c>
      <c r="G82" s="337">
        <v>2016</v>
      </c>
      <c r="H82" s="338" t="str">
        <f t="shared" si="7"/>
        <v>£m 12/13</v>
      </c>
      <c r="I82" s="338" t="s">
        <v>270</v>
      </c>
      <c r="J82" s="421" t="s">
        <v>482</v>
      </c>
      <c r="K82" s="551"/>
      <c r="L82" s="552"/>
      <c r="M82" s="429">
        <f t="shared" si="8"/>
        <v>2.5499999999999998E-2</v>
      </c>
      <c r="N82" s="429">
        <f t="shared" si="9"/>
        <v>2.4199999999999999E-2</v>
      </c>
      <c r="O82" s="429">
        <f t="shared" si="10"/>
        <v>2.29E-2</v>
      </c>
      <c r="P82" s="429">
        <f t="shared" si="11"/>
        <v>2.0899999999999998E-2</v>
      </c>
      <c r="Q82" s="429">
        <f t="shared" si="12"/>
        <v>1.9400000000000001E-2</v>
      </c>
      <c r="R82" s="429">
        <f t="shared" si="13"/>
        <v>1.78E-2</v>
      </c>
      <c r="S82" s="429">
        <f t="shared" si="14"/>
        <v>1.6299999999999999E-2</v>
      </c>
      <c r="T82" s="433">
        <f t="shared" si="15"/>
        <v>1.4800000000000001E-2</v>
      </c>
    </row>
    <row r="83" spans="1:20">
      <c r="A83" s="60" t="s">
        <v>172</v>
      </c>
      <c r="B83" s="72" t="s">
        <v>246</v>
      </c>
      <c r="C83" s="305">
        <v>6.4000000000000001E-2</v>
      </c>
      <c r="D83" s="306">
        <v>0.7</v>
      </c>
      <c r="E83" s="307">
        <v>0.65</v>
      </c>
      <c r="F83" s="307">
        <v>0.8</v>
      </c>
      <c r="G83" s="337">
        <v>2016</v>
      </c>
      <c r="H83" s="338" t="str">
        <f t="shared" si="7"/>
        <v>£m 12/13</v>
      </c>
      <c r="I83" s="338" t="s">
        <v>271</v>
      </c>
      <c r="J83" s="421" t="s">
        <v>483</v>
      </c>
      <c r="K83" s="551"/>
      <c r="L83" s="552"/>
      <c r="M83" s="429">
        <f t="shared" ref="M83:T86" si="16">E$63</f>
        <v>2.5499999999999998E-2</v>
      </c>
      <c r="N83" s="429">
        <f t="shared" si="16"/>
        <v>2.3799999999999998E-2</v>
      </c>
      <c r="O83" s="429">
        <f t="shared" si="16"/>
        <v>2.2200000000000001E-2</v>
      </c>
      <c r="P83" s="429">
        <f t="shared" si="16"/>
        <v>1.9099999999999999E-2</v>
      </c>
      <c r="Q83" s="429">
        <f t="shared" si="16"/>
        <v>1.5800000000000002E-2</v>
      </c>
      <c r="R83" s="429">
        <f t="shared" si="16"/>
        <v>1.09E-2</v>
      </c>
      <c r="S83" s="429">
        <f t="shared" si="16"/>
        <v>7.7000000000000002E-3</v>
      </c>
      <c r="T83" s="433">
        <f t="shared" si="16"/>
        <v>4.5999999999999999E-3</v>
      </c>
    </row>
    <row r="84" spans="1:20">
      <c r="A84" s="60" t="s">
        <v>172</v>
      </c>
      <c r="B84" s="72" t="s">
        <v>247</v>
      </c>
      <c r="C84" s="305">
        <v>6.4000000000000001E-2</v>
      </c>
      <c r="D84" s="306">
        <v>0.7</v>
      </c>
      <c r="E84" s="307">
        <v>0.65</v>
      </c>
      <c r="F84" s="307">
        <v>0.8</v>
      </c>
      <c r="G84" s="337">
        <v>2016</v>
      </c>
      <c r="H84" s="338" t="str">
        <f t="shared" si="7"/>
        <v>£m 12/13</v>
      </c>
      <c r="I84" s="338" t="s">
        <v>271</v>
      </c>
      <c r="J84" s="421" t="s">
        <v>483</v>
      </c>
      <c r="K84" s="551"/>
      <c r="L84" s="552"/>
      <c r="M84" s="429">
        <f t="shared" si="16"/>
        <v>2.5499999999999998E-2</v>
      </c>
      <c r="N84" s="429">
        <f t="shared" si="16"/>
        <v>2.3799999999999998E-2</v>
      </c>
      <c r="O84" s="429">
        <f t="shared" si="16"/>
        <v>2.2200000000000001E-2</v>
      </c>
      <c r="P84" s="429">
        <f t="shared" si="16"/>
        <v>1.9099999999999999E-2</v>
      </c>
      <c r="Q84" s="429">
        <f t="shared" si="16"/>
        <v>1.5800000000000002E-2</v>
      </c>
      <c r="R84" s="429">
        <f t="shared" si="16"/>
        <v>1.09E-2</v>
      </c>
      <c r="S84" s="429">
        <f t="shared" si="16"/>
        <v>7.7000000000000002E-3</v>
      </c>
      <c r="T84" s="433">
        <f t="shared" si="16"/>
        <v>4.5999999999999999E-3</v>
      </c>
    </row>
    <row r="85" spans="1:20">
      <c r="A85" s="60" t="s">
        <v>172</v>
      </c>
      <c r="B85" s="72" t="s">
        <v>248</v>
      </c>
      <c r="C85" s="305">
        <v>6.4000000000000001E-2</v>
      </c>
      <c r="D85" s="306">
        <v>0.7</v>
      </c>
      <c r="E85" s="307">
        <v>0.65</v>
      </c>
      <c r="F85" s="307">
        <v>0.8</v>
      </c>
      <c r="G85" s="337">
        <v>2016</v>
      </c>
      <c r="H85" s="338" t="str">
        <f t="shared" si="7"/>
        <v>£m 12/13</v>
      </c>
      <c r="I85" s="338" t="s">
        <v>271</v>
      </c>
      <c r="J85" s="421" t="s">
        <v>483</v>
      </c>
      <c r="K85" s="551"/>
      <c r="L85" s="552"/>
      <c r="M85" s="429">
        <f t="shared" si="16"/>
        <v>2.5499999999999998E-2</v>
      </c>
      <c r="N85" s="429">
        <f t="shared" si="16"/>
        <v>2.3799999999999998E-2</v>
      </c>
      <c r="O85" s="429">
        <f t="shared" si="16"/>
        <v>2.2200000000000001E-2</v>
      </c>
      <c r="P85" s="429">
        <f t="shared" si="16"/>
        <v>1.9099999999999999E-2</v>
      </c>
      <c r="Q85" s="429">
        <f t="shared" si="16"/>
        <v>1.5800000000000002E-2</v>
      </c>
      <c r="R85" s="429">
        <f t="shared" si="16"/>
        <v>1.09E-2</v>
      </c>
      <c r="S85" s="429">
        <f t="shared" si="16"/>
        <v>7.7000000000000002E-3</v>
      </c>
      <c r="T85" s="433">
        <f t="shared" si="16"/>
        <v>4.5999999999999999E-3</v>
      </c>
    </row>
    <row r="86" spans="1:20">
      <c r="A86" s="60" t="s">
        <v>172</v>
      </c>
      <c r="B86" s="72" t="s">
        <v>249</v>
      </c>
      <c r="C86" s="305">
        <v>6.4000000000000001E-2</v>
      </c>
      <c r="D86" s="306">
        <v>0.7</v>
      </c>
      <c r="E86" s="307">
        <v>0.65</v>
      </c>
      <c r="F86" s="307">
        <v>0.8</v>
      </c>
      <c r="G86" s="337">
        <v>2016</v>
      </c>
      <c r="H86" s="338" t="str">
        <f t="shared" si="7"/>
        <v>£m 12/13</v>
      </c>
      <c r="I86" s="338" t="s">
        <v>271</v>
      </c>
      <c r="J86" s="421" t="s">
        <v>483</v>
      </c>
      <c r="K86" s="551"/>
      <c r="L86" s="552"/>
      <c r="M86" s="429">
        <f t="shared" si="16"/>
        <v>2.5499999999999998E-2</v>
      </c>
      <c r="N86" s="429">
        <f t="shared" si="16"/>
        <v>2.3799999999999998E-2</v>
      </c>
      <c r="O86" s="429">
        <f t="shared" si="16"/>
        <v>2.2200000000000001E-2</v>
      </c>
      <c r="P86" s="429">
        <f t="shared" si="16"/>
        <v>1.9099999999999999E-2</v>
      </c>
      <c r="Q86" s="429">
        <f t="shared" si="16"/>
        <v>1.5800000000000002E-2</v>
      </c>
      <c r="R86" s="429">
        <f t="shared" si="16"/>
        <v>1.09E-2</v>
      </c>
      <c r="S86" s="429">
        <f t="shared" si="16"/>
        <v>7.7000000000000002E-3</v>
      </c>
      <c r="T86" s="433">
        <f t="shared" si="16"/>
        <v>4.5999999999999999E-3</v>
      </c>
    </row>
    <row r="87" spans="1:20">
      <c r="A87" s="60" t="s">
        <v>173</v>
      </c>
      <c r="B87" s="72" t="s">
        <v>53</v>
      </c>
      <c r="C87" s="305">
        <v>6.7000000000000004E-2</v>
      </c>
      <c r="D87" s="306">
        <v>0.63039999999999996</v>
      </c>
      <c r="E87" s="307">
        <v>0.65</v>
      </c>
      <c r="F87" s="307">
        <v>0.26634501855794862</v>
      </c>
      <c r="G87" s="337">
        <v>2014</v>
      </c>
      <c r="H87" s="338" t="str">
        <f t="shared" si="7"/>
        <v>£m 09/10</v>
      </c>
      <c r="I87" s="338" t="s">
        <v>270</v>
      </c>
      <c r="J87" s="421" t="s">
        <v>483</v>
      </c>
      <c r="K87" s="431">
        <f t="shared" ref="K87:R94" si="17">C$67</f>
        <v>2.92E-2</v>
      </c>
      <c r="L87" s="429">
        <f t="shared" si="17"/>
        <v>2.7199999999999998E-2</v>
      </c>
      <c r="M87" s="429">
        <f t="shared" si="17"/>
        <v>2.5499999999999998E-2</v>
      </c>
      <c r="N87" s="429">
        <f t="shared" si="17"/>
        <v>2.3800000000000002E-2</v>
      </c>
      <c r="O87" s="429">
        <f t="shared" si="17"/>
        <v>2.2200000000000001E-2</v>
      </c>
      <c r="P87" s="429">
        <f t="shared" si="17"/>
        <v>1.9099999999999999E-2</v>
      </c>
      <c r="Q87" s="429">
        <f t="shared" si="17"/>
        <v>1.5800000000000002E-2</v>
      </c>
      <c r="R87" s="429">
        <f t="shared" si="17"/>
        <v>1.09E-2</v>
      </c>
      <c r="S87" s="552"/>
      <c r="T87" s="553"/>
    </row>
    <row r="88" spans="1:20">
      <c r="A88" s="60" t="s">
        <v>173</v>
      </c>
      <c r="B88" s="72" t="s">
        <v>54</v>
      </c>
      <c r="C88" s="305">
        <v>6.7000000000000004E-2</v>
      </c>
      <c r="D88" s="306">
        <v>0.63039999999999996</v>
      </c>
      <c r="E88" s="307">
        <v>0.65</v>
      </c>
      <c r="F88" s="307">
        <v>0.23469337831705597</v>
      </c>
      <c r="G88" s="337">
        <v>2014</v>
      </c>
      <c r="H88" s="338" t="str">
        <f t="shared" si="7"/>
        <v>£m 09/10</v>
      </c>
      <c r="I88" s="338" t="s">
        <v>270</v>
      </c>
      <c r="J88" s="421" t="s">
        <v>483</v>
      </c>
      <c r="K88" s="431">
        <f t="shared" si="17"/>
        <v>2.92E-2</v>
      </c>
      <c r="L88" s="429">
        <f t="shared" si="17"/>
        <v>2.7199999999999998E-2</v>
      </c>
      <c r="M88" s="429">
        <f t="shared" si="17"/>
        <v>2.5499999999999998E-2</v>
      </c>
      <c r="N88" s="429">
        <f t="shared" si="17"/>
        <v>2.3800000000000002E-2</v>
      </c>
      <c r="O88" s="429">
        <f t="shared" si="17"/>
        <v>2.2200000000000001E-2</v>
      </c>
      <c r="P88" s="429">
        <f t="shared" si="17"/>
        <v>1.9099999999999999E-2</v>
      </c>
      <c r="Q88" s="429">
        <f t="shared" si="17"/>
        <v>1.5800000000000002E-2</v>
      </c>
      <c r="R88" s="429">
        <f t="shared" si="17"/>
        <v>1.09E-2</v>
      </c>
      <c r="S88" s="552"/>
      <c r="T88" s="553"/>
    </row>
    <row r="89" spans="1:20">
      <c r="A89" s="60" t="s">
        <v>173</v>
      </c>
      <c r="B89" s="72" t="s">
        <v>55</v>
      </c>
      <c r="C89" s="305">
        <v>6.7000000000000004E-2</v>
      </c>
      <c r="D89" s="306">
        <v>0.63039999999999996</v>
      </c>
      <c r="E89" s="307">
        <v>0.65</v>
      </c>
      <c r="F89" s="307">
        <v>0.24946223864843597</v>
      </c>
      <c r="G89" s="337">
        <v>2014</v>
      </c>
      <c r="H89" s="338" t="str">
        <f t="shared" si="7"/>
        <v>£m 09/10</v>
      </c>
      <c r="I89" s="338" t="s">
        <v>270</v>
      </c>
      <c r="J89" s="421" t="s">
        <v>483</v>
      </c>
      <c r="K89" s="431">
        <f t="shared" si="17"/>
        <v>2.92E-2</v>
      </c>
      <c r="L89" s="429">
        <f t="shared" si="17"/>
        <v>2.7199999999999998E-2</v>
      </c>
      <c r="M89" s="429">
        <f t="shared" si="17"/>
        <v>2.5499999999999998E-2</v>
      </c>
      <c r="N89" s="429">
        <f t="shared" si="17"/>
        <v>2.3800000000000002E-2</v>
      </c>
      <c r="O89" s="429">
        <f t="shared" si="17"/>
        <v>2.2200000000000001E-2</v>
      </c>
      <c r="P89" s="429">
        <f t="shared" si="17"/>
        <v>1.9099999999999999E-2</v>
      </c>
      <c r="Q89" s="429">
        <f t="shared" si="17"/>
        <v>1.5800000000000002E-2</v>
      </c>
      <c r="R89" s="429">
        <f t="shared" si="17"/>
        <v>1.09E-2</v>
      </c>
      <c r="S89" s="552"/>
      <c r="T89" s="553"/>
    </row>
    <row r="90" spans="1:20">
      <c r="A90" s="60" t="s">
        <v>173</v>
      </c>
      <c r="B90" s="72" t="s">
        <v>56</v>
      </c>
      <c r="C90" s="305">
        <v>6.7000000000000004E-2</v>
      </c>
      <c r="D90" s="306">
        <v>0.63039999999999996</v>
      </c>
      <c r="E90" s="307">
        <v>0.65</v>
      </c>
      <c r="F90" s="307">
        <v>0.26095352485819256</v>
      </c>
      <c r="G90" s="337">
        <v>2014</v>
      </c>
      <c r="H90" s="338" t="str">
        <f t="shared" si="7"/>
        <v>£m 09/10</v>
      </c>
      <c r="I90" s="338" t="s">
        <v>270</v>
      </c>
      <c r="J90" s="421" t="s">
        <v>483</v>
      </c>
      <c r="K90" s="431">
        <f t="shared" si="17"/>
        <v>2.92E-2</v>
      </c>
      <c r="L90" s="429">
        <f t="shared" si="17"/>
        <v>2.7199999999999998E-2</v>
      </c>
      <c r="M90" s="429">
        <f t="shared" si="17"/>
        <v>2.5499999999999998E-2</v>
      </c>
      <c r="N90" s="429">
        <f t="shared" si="17"/>
        <v>2.3800000000000002E-2</v>
      </c>
      <c r="O90" s="429">
        <f t="shared" si="17"/>
        <v>2.2200000000000001E-2</v>
      </c>
      <c r="P90" s="429">
        <f t="shared" si="17"/>
        <v>1.9099999999999999E-2</v>
      </c>
      <c r="Q90" s="429">
        <f t="shared" si="17"/>
        <v>1.5800000000000002E-2</v>
      </c>
      <c r="R90" s="429">
        <f t="shared" si="17"/>
        <v>1.09E-2</v>
      </c>
      <c r="S90" s="552"/>
      <c r="T90" s="553"/>
    </row>
    <row r="91" spans="1:20">
      <c r="A91" s="60" t="s">
        <v>173</v>
      </c>
      <c r="B91" s="72" t="s">
        <v>50</v>
      </c>
      <c r="C91" s="305">
        <v>6.7000000000000004E-2</v>
      </c>
      <c r="D91" s="306">
        <v>0.63980000000000004</v>
      </c>
      <c r="E91" s="307">
        <v>0.65</v>
      </c>
      <c r="F91" s="307">
        <v>0.34984411379298247</v>
      </c>
      <c r="G91" s="337">
        <v>2014</v>
      </c>
      <c r="H91" s="338" t="str">
        <f t="shared" si="7"/>
        <v>£m 09/10</v>
      </c>
      <c r="I91" s="338" t="s">
        <v>270</v>
      </c>
      <c r="J91" s="421" t="s">
        <v>483</v>
      </c>
      <c r="K91" s="431">
        <f t="shared" si="17"/>
        <v>2.92E-2</v>
      </c>
      <c r="L91" s="429">
        <f t="shared" si="17"/>
        <v>2.7199999999999998E-2</v>
      </c>
      <c r="M91" s="429">
        <f t="shared" si="17"/>
        <v>2.5499999999999998E-2</v>
      </c>
      <c r="N91" s="429">
        <f t="shared" si="17"/>
        <v>2.3800000000000002E-2</v>
      </c>
      <c r="O91" s="429">
        <f t="shared" si="17"/>
        <v>2.2200000000000001E-2</v>
      </c>
      <c r="P91" s="429">
        <f t="shared" si="17"/>
        <v>1.9099999999999999E-2</v>
      </c>
      <c r="Q91" s="429">
        <f t="shared" si="17"/>
        <v>1.5800000000000002E-2</v>
      </c>
      <c r="R91" s="429">
        <f t="shared" si="17"/>
        <v>1.09E-2</v>
      </c>
      <c r="S91" s="552"/>
      <c r="T91" s="553"/>
    </row>
    <row r="92" spans="1:20">
      <c r="A92" s="60" t="s">
        <v>173</v>
      </c>
      <c r="B92" s="72" t="s">
        <v>52</v>
      </c>
      <c r="C92" s="305">
        <v>6.7000000000000004E-2</v>
      </c>
      <c r="D92" s="306">
        <v>0.63729999999999998</v>
      </c>
      <c r="E92" s="307">
        <v>0.65</v>
      </c>
      <c r="F92" s="307">
        <v>0.35129049661183626</v>
      </c>
      <c r="G92" s="337">
        <v>2014</v>
      </c>
      <c r="H92" s="338" t="str">
        <f t="shared" si="7"/>
        <v>£m 09/10</v>
      </c>
      <c r="I92" s="338" t="s">
        <v>270</v>
      </c>
      <c r="J92" s="421" t="s">
        <v>483</v>
      </c>
      <c r="K92" s="431">
        <f t="shared" si="17"/>
        <v>2.92E-2</v>
      </c>
      <c r="L92" s="429">
        <f t="shared" si="17"/>
        <v>2.7199999999999998E-2</v>
      </c>
      <c r="M92" s="429">
        <f t="shared" si="17"/>
        <v>2.5499999999999998E-2</v>
      </c>
      <c r="N92" s="429">
        <f t="shared" si="17"/>
        <v>2.3800000000000002E-2</v>
      </c>
      <c r="O92" s="429">
        <f t="shared" si="17"/>
        <v>2.2200000000000001E-2</v>
      </c>
      <c r="P92" s="429">
        <f t="shared" si="17"/>
        <v>1.9099999999999999E-2</v>
      </c>
      <c r="Q92" s="429">
        <f t="shared" si="17"/>
        <v>1.5800000000000002E-2</v>
      </c>
      <c r="R92" s="429">
        <f t="shared" si="17"/>
        <v>1.09E-2</v>
      </c>
      <c r="S92" s="552"/>
      <c r="T92" s="553"/>
    </row>
    <row r="93" spans="1:20">
      <c r="A93" s="60" t="s">
        <v>173</v>
      </c>
      <c r="B93" s="72" t="s">
        <v>51</v>
      </c>
      <c r="C93" s="305">
        <v>6.7000000000000004E-2</v>
      </c>
      <c r="D93" s="306">
        <v>0.63729999999999998</v>
      </c>
      <c r="E93" s="307">
        <v>0.65</v>
      </c>
      <c r="F93" s="307">
        <v>0.32230855902021693</v>
      </c>
      <c r="G93" s="337">
        <v>2014</v>
      </c>
      <c r="H93" s="338" t="str">
        <f t="shared" si="7"/>
        <v>£m 09/10</v>
      </c>
      <c r="I93" s="338" t="s">
        <v>270</v>
      </c>
      <c r="J93" s="421" t="s">
        <v>483</v>
      </c>
      <c r="K93" s="431">
        <f t="shared" si="17"/>
        <v>2.92E-2</v>
      </c>
      <c r="L93" s="429">
        <f t="shared" si="17"/>
        <v>2.7199999999999998E-2</v>
      </c>
      <c r="M93" s="429">
        <f t="shared" si="17"/>
        <v>2.5499999999999998E-2</v>
      </c>
      <c r="N93" s="429">
        <f t="shared" si="17"/>
        <v>2.3800000000000002E-2</v>
      </c>
      <c r="O93" s="429">
        <f t="shared" si="17"/>
        <v>2.2200000000000001E-2</v>
      </c>
      <c r="P93" s="429">
        <f t="shared" si="17"/>
        <v>1.9099999999999999E-2</v>
      </c>
      <c r="Q93" s="429">
        <f t="shared" si="17"/>
        <v>1.5800000000000002E-2</v>
      </c>
      <c r="R93" s="429">
        <f t="shared" si="17"/>
        <v>1.09E-2</v>
      </c>
      <c r="S93" s="552"/>
      <c r="T93" s="553"/>
    </row>
    <row r="94" spans="1:20">
      <c r="A94" s="60" t="s">
        <v>173</v>
      </c>
      <c r="B94" s="72" t="s">
        <v>49</v>
      </c>
      <c r="C94" s="305">
        <v>6.7000000000000004E-2</v>
      </c>
      <c r="D94" s="306">
        <v>0.63170000000000004</v>
      </c>
      <c r="E94" s="307">
        <v>0.65</v>
      </c>
      <c r="F94" s="307">
        <v>0.35781904469402892</v>
      </c>
      <c r="G94" s="337">
        <v>2014</v>
      </c>
      <c r="H94" s="338" t="str">
        <f t="shared" si="7"/>
        <v>£m 09/10</v>
      </c>
      <c r="I94" s="338" t="s">
        <v>270</v>
      </c>
      <c r="J94" s="421" t="s">
        <v>483</v>
      </c>
      <c r="K94" s="431">
        <f t="shared" si="17"/>
        <v>2.92E-2</v>
      </c>
      <c r="L94" s="429">
        <f t="shared" si="17"/>
        <v>2.7199999999999998E-2</v>
      </c>
      <c r="M94" s="429">
        <f t="shared" si="17"/>
        <v>2.5499999999999998E-2</v>
      </c>
      <c r="N94" s="429">
        <f t="shared" si="17"/>
        <v>2.3800000000000002E-2</v>
      </c>
      <c r="O94" s="429">
        <f t="shared" si="17"/>
        <v>2.2200000000000001E-2</v>
      </c>
      <c r="P94" s="429">
        <f t="shared" si="17"/>
        <v>1.9099999999999999E-2</v>
      </c>
      <c r="Q94" s="429">
        <f t="shared" si="17"/>
        <v>1.5800000000000002E-2</v>
      </c>
      <c r="R94" s="429">
        <f t="shared" si="17"/>
        <v>1.09E-2</v>
      </c>
      <c r="S94" s="552"/>
      <c r="T94" s="553"/>
    </row>
    <row r="95" spans="1:20">
      <c r="A95" s="60" t="s">
        <v>175</v>
      </c>
      <c r="B95" s="72" t="s">
        <v>113</v>
      </c>
      <c r="C95" s="305">
        <v>6.8000000000000005E-2</v>
      </c>
      <c r="D95" s="306">
        <v>0.44359999999999999</v>
      </c>
      <c r="E95" s="307">
        <v>0.625</v>
      </c>
      <c r="F95" s="307">
        <v>0.64400000000000002</v>
      </c>
      <c r="G95" s="337">
        <v>2014</v>
      </c>
      <c r="H95" s="338" t="str">
        <f t="shared" si="7"/>
        <v>£m 09/10</v>
      </c>
      <c r="I95" s="338" t="s">
        <v>270</v>
      </c>
      <c r="J95" s="421" t="s">
        <v>483</v>
      </c>
      <c r="K95" s="431">
        <f t="shared" ref="K95:R96" si="18">C$68</f>
        <v>2.92E-2</v>
      </c>
      <c r="L95" s="429">
        <f t="shared" si="18"/>
        <v>2.7199999999999998E-2</v>
      </c>
      <c r="M95" s="429">
        <f t="shared" si="18"/>
        <v>2.5499999999999998E-2</v>
      </c>
      <c r="N95" s="429">
        <f t="shared" si="18"/>
        <v>2.3800000000000002E-2</v>
      </c>
      <c r="O95" s="429">
        <f t="shared" si="18"/>
        <v>2.2200000000000001E-2</v>
      </c>
      <c r="P95" s="429">
        <f t="shared" si="18"/>
        <v>1.9099999999999999E-2</v>
      </c>
      <c r="Q95" s="429">
        <f t="shared" si="18"/>
        <v>1.5800000000000002E-2</v>
      </c>
      <c r="R95" s="429">
        <f t="shared" si="18"/>
        <v>1.09E-2</v>
      </c>
      <c r="S95" s="552"/>
      <c r="T95" s="553"/>
    </row>
    <row r="96" spans="1:20">
      <c r="A96" s="60" t="s">
        <v>175</v>
      </c>
      <c r="B96" s="72" t="s">
        <v>114</v>
      </c>
      <c r="C96" s="305">
        <v>6.8000000000000005E-2</v>
      </c>
      <c r="D96" s="306">
        <v>0.44359999999999999</v>
      </c>
      <c r="E96" s="307">
        <v>0.625</v>
      </c>
      <c r="F96" s="307">
        <v>0.374</v>
      </c>
      <c r="G96" s="337">
        <v>2014</v>
      </c>
      <c r="H96" s="338" t="str">
        <f t="shared" si="7"/>
        <v>£m 09/10</v>
      </c>
      <c r="I96" s="338" t="s">
        <v>270</v>
      </c>
      <c r="J96" s="421" t="s">
        <v>483</v>
      </c>
      <c r="K96" s="431">
        <f t="shared" si="18"/>
        <v>2.92E-2</v>
      </c>
      <c r="L96" s="429">
        <f t="shared" si="18"/>
        <v>2.7199999999999998E-2</v>
      </c>
      <c r="M96" s="429">
        <f t="shared" si="18"/>
        <v>2.5499999999999998E-2</v>
      </c>
      <c r="N96" s="429">
        <f t="shared" si="18"/>
        <v>2.3800000000000002E-2</v>
      </c>
      <c r="O96" s="429">
        <f t="shared" si="18"/>
        <v>2.2200000000000001E-2</v>
      </c>
      <c r="P96" s="429">
        <f t="shared" si="18"/>
        <v>1.9099999999999999E-2</v>
      </c>
      <c r="Q96" s="429">
        <f t="shared" si="18"/>
        <v>1.5800000000000002E-2</v>
      </c>
      <c r="R96" s="429">
        <f t="shared" si="18"/>
        <v>1.09E-2</v>
      </c>
      <c r="S96" s="552"/>
      <c r="T96" s="553"/>
    </row>
    <row r="97" spans="1:20">
      <c r="A97" s="60" t="s">
        <v>174</v>
      </c>
      <c r="B97" s="72" t="s">
        <v>111</v>
      </c>
      <c r="C97" s="305">
        <v>7.0000000000000007E-2</v>
      </c>
      <c r="D97" s="306">
        <v>0.46889999999999998</v>
      </c>
      <c r="E97" s="307">
        <v>0.6</v>
      </c>
      <c r="F97" s="307">
        <v>0.85</v>
      </c>
      <c r="G97" s="337">
        <v>2014</v>
      </c>
      <c r="H97" s="338" t="str">
        <f t="shared" si="7"/>
        <v>£m 09/10</v>
      </c>
      <c r="I97" s="338" t="s">
        <v>270</v>
      </c>
      <c r="J97" s="421" t="s">
        <v>483</v>
      </c>
      <c r="K97" s="431">
        <f t="shared" ref="K97:R99" si="19">C$66</f>
        <v>2.92E-2</v>
      </c>
      <c r="L97" s="429">
        <f t="shared" si="19"/>
        <v>2.7199999999999998E-2</v>
      </c>
      <c r="M97" s="429">
        <f t="shared" si="19"/>
        <v>2.5499999999999998E-2</v>
      </c>
      <c r="N97" s="429">
        <f t="shared" si="19"/>
        <v>2.3800000000000002E-2</v>
      </c>
      <c r="O97" s="429">
        <f t="shared" si="19"/>
        <v>2.2200000000000001E-2</v>
      </c>
      <c r="P97" s="429">
        <f t="shared" si="19"/>
        <v>1.9099999999999999E-2</v>
      </c>
      <c r="Q97" s="429">
        <f t="shared" si="19"/>
        <v>1.5800000000000002E-2</v>
      </c>
      <c r="R97" s="429">
        <f t="shared" si="19"/>
        <v>1.09E-2</v>
      </c>
      <c r="S97" s="552"/>
      <c r="T97" s="553"/>
    </row>
    <row r="98" spans="1:20">
      <c r="A98" s="60" t="s">
        <v>174</v>
      </c>
      <c r="B98" s="72" t="s">
        <v>112</v>
      </c>
      <c r="C98" s="305">
        <v>7.0000000000000007E-2</v>
      </c>
      <c r="D98" s="306">
        <v>0.46889999999999998</v>
      </c>
      <c r="E98" s="307">
        <v>0.6</v>
      </c>
      <c r="F98" s="307">
        <v>0.27900000000000003</v>
      </c>
      <c r="G98" s="324">
        <v>2014</v>
      </c>
      <c r="H98" s="325" t="str">
        <f>VLOOKUP($A98,$E$54:$F$57,2,FALSE)</f>
        <v>£m 09/10</v>
      </c>
      <c r="I98" s="322" t="s">
        <v>270</v>
      </c>
      <c r="J98" s="421" t="s">
        <v>483</v>
      </c>
      <c r="K98" s="431">
        <f t="shared" si="19"/>
        <v>2.92E-2</v>
      </c>
      <c r="L98" s="429">
        <f t="shared" si="19"/>
        <v>2.7199999999999998E-2</v>
      </c>
      <c r="M98" s="429">
        <f t="shared" si="19"/>
        <v>2.5499999999999998E-2</v>
      </c>
      <c r="N98" s="429">
        <f t="shared" si="19"/>
        <v>2.3800000000000002E-2</v>
      </c>
      <c r="O98" s="429">
        <f t="shared" si="19"/>
        <v>2.2200000000000001E-2</v>
      </c>
      <c r="P98" s="429">
        <f t="shared" si="19"/>
        <v>1.9099999999999999E-2</v>
      </c>
      <c r="Q98" s="429">
        <f t="shared" si="19"/>
        <v>1.5800000000000002E-2</v>
      </c>
      <c r="R98" s="429">
        <f t="shared" si="19"/>
        <v>1.09E-2</v>
      </c>
      <c r="S98" s="552"/>
      <c r="T98" s="553"/>
    </row>
    <row r="99" spans="1:20">
      <c r="A99" s="60" t="s">
        <v>174</v>
      </c>
      <c r="B99" s="72" t="s">
        <v>60</v>
      </c>
      <c r="C99" s="305">
        <v>7.0000000000000007E-2</v>
      </c>
      <c r="D99" s="306">
        <v>0.5</v>
      </c>
      <c r="E99" s="307">
        <v>0.55000000000000004</v>
      </c>
      <c r="F99" s="307">
        <v>0.9</v>
      </c>
      <c r="G99" s="324">
        <v>2014</v>
      </c>
      <c r="H99" s="325" t="str">
        <f>VLOOKUP($A99,$E$54:$F$57,2,FALSE)</f>
        <v>£m 09/10</v>
      </c>
      <c r="I99" s="322" t="s">
        <v>271</v>
      </c>
      <c r="J99" s="421" t="s">
        <v>483</v>
      </c>
      <c r="K99" s="431">
        <f t="shared" si="19"/>
        <v>2.92E-2</v>
      </c>
      <c r="L99" s="429">
        <f t="shared" si="19"/>
        <v>2.7199999999999998E-2</v>
      </c>
      <c r="M99" s="429">
        <f t="shared" si="19"/>
        <v>2.5499999999999998E-2</v>
      </c>
      <c r="N99" s="429">
        <f t="shared" si="19"/>
        <v>2.3800000000000002E-2</v>
      </c>
      <c r="O99" s="429">
        <f t="shared" si="19"/>
        <v>2.2200000000000001E-2</v>
      </c>
      <c r="P99" s="429">
        <f t="shared" si="19"/>
        <v>1.9099999999999999E-2</v>
      </c>
      <c r="Q99" s="429">
        <f t="shared" si="19"/>
        <v>1.5800000000000002E-2</v>
      </c>
      <c r="R99" s="429">
        <f t="shared" si="19"/>
        <v>1.09E-2</v>
      </c>
      <c r="S99" s="552"/>
      <c r="T99" s="553"/>
    </row>
    <row r="100" spans="1:20">
      <c r="A100" s="60" t="s">
        <v>174</v>
      </c>
      <c r="B100" s="73" t="s">
        <v>61</v>
      </c>
      <c r="C100" s="308">
        <v>7.0000000000000007E-2</v>
      </c>
      <c r="D100" s="309">
        <v>0.5</v>
      </c>
      <c r="E100" s="310">
        <v>0.55000000000000004</v>
      </c>
      <c r="F100" s="310">
        <v>0.9</v>
      </c>
      <c r="G100" s="326">
        <v>2014</v>
      </c>
      <c r="H100" s="327" t="str">
        <f>VLOOKUP($A100,$E$54:$F$57,2,FALSE)</f>
        <v>£m 09/10</v>
      </c>
      <c r="I100" s="323" t="s">
        <v>271</v>
      </c>
      <c r="J100" s="421" t="s">
        <v>483</v>
      </c>
      <c r="K100" s="432">
        <f t="shared" ref="K100:R100" si="20">C$65</f>
        <v>2.92E-2</v>
      </c>
      <c r="L100" s="430">
        <f t="shared" si="20"/>
        <v>2.5000000000000001E-2</v>
      </c>
      <c r="M100" s="430">
        <f t="shared" si="20"/>
        <v>2.1499999999999998E-2</v>
      </c>
      <c r="N100" s="430">
        <f t="shared" si="20"/>
        <v>1.7899999999999999E-2</v>
      </c>
      <c r="O100" s="430">
        <f t="shared" si="20"/>
        <v>1.5100000000000001E-2</v>
      </c>
      <c r="P100" s="430">
        <f t="shared" si="20"/>
        <v>1.1599999999999999E-2</v>
      </c>
      <c r="Q100" s="430">
        <f t="shared" si="20"/>
        <v>1.0200000000000001E-2</v>
      </c>
      <c r="R100" s="430">
        <f t="shared" si="20"/>
        <v>8.3000000000000001E-3</v>
      </c>
      <c r="S100" s="554"/>
      <c r="T100" s="555"/>
    </row>
    <row r="101" spans="1:20">
      <c r="I101" s="67"/>
    </row>
    <row r="102" spans="1:20">
      <c r="I102" s="67"/>
    </row>
    <row r="103" spans="1:20">
      <c r="I103" s="67"/>
    </row>
    <row r="104" spans="1:20">
      <c r="B104" s="14" t="s">
        <v>250</v>
      </c>
      <c r="D104" s="296"/>
      <c r="E104" s="296"/>
      <c r="F104" s="296"/>
      <c r="G104" s="296"/>
      <c r="H104" s="296"/>
      <c r="I104" s="296"/>
      <c r="J104" s="296"/>
    </row>
    <row r="105" spans="1:20">
      <c r="B105" s="14"/>
      <c r="C105" s="116">
        <v>2014</v>
      </c>
      <c r="D105" s="117">
        <f>C105+1</f>
        <v>2015</v>
      </c>
      <c r="E105" s="117">
        <f t="shared" ref="E105:J105" si="21">D105+1</f>
        <v>2016</v>
      </c>
      <c r="F105" s="117">
        <f>E105+1</f>
        <v>2017</v>
      </c>
      <c r="G105" s="117">
        <f t="shared" si="21"/>
        <v>2018</v>
      </c>
      <c r="H105" s="117">
        <f t="shared" si="21"/>
        <v>2019</v>
      </c>
      <c r="I105" s="117">
        <f t="shared" si="21"/>
        <v>2020</v>
      </c>
      <c r="J105" s="117">
        <f t="shared" si="21"/>
        <v>2021</v>
      </c>
    </row>
    <row r="106" spans="1:20">
      <c r="B106" s="300" t="s">
        <v>53</v>
      </c>
      <c r="C106" s="297">
        <v>0.5</v>
      </c>
      <c r="D106" s="297">
        <v>0.5714285714285714</v>
      </c>
      <c r="E106" s="297">
        <v>0.64285714285714279</v>
      </c>
      <c r="F106" s="297">
        <v>0.71428571428571419</v>
      </c>
      <c r="G106" s="297">
        <v>0.78571428571428559</v>
      </c>
      <c r="H106" s="297">
        <v>0.85714285714285698</v>
      </c>
      <c r="I106" s="297">
        <v>0.92857142857142838</v>
      </c>
      <c r="J106" s="298">
        <v>1</v>
      </c>
    </row>
    <row r="107" spans="1:20">
      <c r="B107" s="301" t="s">
        <v>54</v>
      </c>
      <c r="C107" s="218">
        <v>0.5</v>
      </c>
      <c r="D107" s="218">
        <v>0.5714285714285714</v>
      </c>
      <c r="E107" s="218">
        <v>0.64285714285714279</v>
      </c>
      <c r="F107" s="218">
        <v>0.71428571428571419</v>
      </c>
      <c r="G107" s="218">
        <v>0.78571428571428559</v>
      </c>
      <c r="H107" s="218">
        <v>0.85714285714285698</v>
      </c>
      <c r="I107" s="218">
        <v>0.92857142857142838</v>
      </c>
      <c r="J107" s="219">
        <v>1</v>
      </c>
    </row>
    <row r="108" spans="1:20">
      <c r="B108" s="301" t="s">
        <v>55</v>
      </c>
      <c r="C108" s="218">
        <v>0.5</v>
      </c>
      <c r="D108" s="218">
        <v>0.5714285714285714</v>
      </c>
      <c r="E108" s="218">
        <v>0.64285714285714279</v>
      </c>
      <c r="F108" s="218">
        <v>0.71428571428571419</v>
      </c>
      <c r="G108" s="218">
        <v>0.78571428571428559</v>
      </c>
      <c r="H108" s="218">
        <v>0.85714285714285698</v>
      </c>
      <c r="I108" s="218">
        <v>0.92857142857142838</v>
      </c>
      <c r="J108" s="219">
        <v>1</v>
      </c>
    </row>
    <row r="109" spans="1:20">
      <c r="B109" s="301" t="s">
        <v>56</v>
      </c>
      <c r="C109" s="218">
        <v>0.5</v>
      </c>
      <c r="D109" s="218">
        <v>0.5714285714285714</v>
      </c>
      <c r="E109" s="218">
        <v>0.64285714285714279</v>
      </c>
      <c r="F109" s="218">
        <v>0.71428571428571419</v>
      </c>
      <c r="G109" s="218">
        <v>0.78571428571428559</v>
      </c>
      <c r="H109" s="218">
        <v>0.85714285714285698</v>
      </c>
      <c r="I109" s="218">
        <v>0.92857142857142838</v>
      </c>
      <c r="J109" s="219">
        <v>1</v>
      </c>
    </row>
    <row r="110" spans="1:20">
      <c r="B110" s="301" t="s">
        <v>50</v>
      </c>
      <c r="C110" s="218">
        <v>0.5</v>
      </c>
      <c r="D110" s="218">
        <v>0.5714285714285714</v>
      </c>
      <c r="E110" s="218">
        <v>0.64285714285714279</v>
      </c>
      <c r="F110" s="218">
        <v>0.71428571428571419</v>
      </c>
      <c r="G110" s="218">
        <v>0.78571428571428559</v>
      </c>
      <c r="H110" s="218">
        <v>0.85714285714285698</v>
      </c>
      <c r="I110" s="218">
        <v>0.92857142857142838</v>
      </c>
      <c r="J110" s="219">
        <v>1</v>
      </c>
    </row>
    <row r="111" spans="1:20">
      <c r="B111" s="301" t="s">
        <v>52</v>
      </c>
      <c r="C111" s="218">
        <v>0.5</v>
      </c>
      <c r="D111" s="218">
        <v>0.5714285714285714</v>
      </c>
      <c r="E111" s="218">
        <v>0.64285714285714279</v>
      </c>
      <c r="F111" s="218">
        <v>0.71428571428571419</v>
      </c>
      <c r="G111" s="218">
        <v>0.78571428571428559</v>
      </c>
      <c r="H111" s="218">
        <v>0.85714285714285698</v>
      </c>
      <c r="I111" s="218">
        <v>0.92857142857142838</v>
      </c>
      <c r="J111" s="219">
        <v>1</v>
      </c>
    </row>
    <row r="112" spans="1:20">
      <c r="B112" s="301" t="s">
        <v>51</v>
      </c>
      <c r="C112" s="218">
        <v>0.5</v>
      </c>
      <c r="D112" s="218">
        <v>0.5714285714285714</v>
      </c>
      <c r="E112" s="218">
        <v>0.64285714285714279</v>
      </c>
      <c r="F112" s="218">
        <v>0.71428571428571419</v>
      </c>
      <c r="G112" s="218">
        <v>0.78571428571428559</v>
      </c>
      <c r="H112" s="218">
        <v>0.85714285714285698</v>
      </c>
      <c r="I112" s="218">
        <v>0.92857142857142838</v>
      </c>
      <c r="J112" s="219">
        <v>1</v>
      </c>
    </row>
    <row r="113" spans="2:15">
      <c r="B113" s="414" t="s">
        <v>49</v>
      </c>
      <c r="C113" s="415">
        <v>0.5</v>
      </c>
      <c r="D113" s="415">
        <v>0.5714285714285714</v>
      </c>
      <c r="E113" s="415">
        <v>0.64285714285714279</v>
      </c>
      <c r="F113" s="415">
        <v>0.71428571428571419</v>
      </c>
      <c r="G113" s="415">
        <v>0.78571428571428559</v>
      </c>
      <c r="H113" s="415">
        <v>0.85714285714285698</v>
      </c>
      <c r="I113" s="415">
        <v>0.92857142857142838</v>
      </c>
      <c r="J113" s="416">
        <v>1</v>
      </c>
    </row>
    <row r="114" spans="2:15">
      <c r="B114" s="301" t="s">
        <v>113</v>
      </c>
      <c r="C114" s="218">
        <v>0.9</v>
      </c>
      <c r="D114" s="218">
        <v>0.9</v>
      </c>
      <c r="E114" s="218">
        <v>0.9</v>
      </c>
      <c r="F114" s="218">
        <v>0.9</v>
      </c>
      <c r="G114" s="218">
        <v>0.9</v>
      </c>
      <c r="H114" s="218">
        <v>0.9</v>
      </c>
      <c r="I114" s="218">
        <v>0.9</v>
      </c>
      <c r="J114" s="219">
        <v>0.9</v>
      </c>
    </row>
    <row r="115" spans="2:15">
      <c r="B115" s="302" t="s">
        <v>114</v>
      </c>
      <c r="C115" s="559"/>
      <c r="D115" s="559"/>
      <c r="E115" s="559"/>
      <c r="F115" s="559"/>
      <c r="G115" s="559"/>
      <c r="H115" s="559"/>
      <c r="I115" s="559"/>
      <c r="J115" s="559"/>
    </row>
    <row r="116" spans="2:15">
      <c r="B116" s="396"/>
      <c r="C116" s="455"/>
      <c r="D116" s="455"/>
      <c r="E116" s="455"/>
      <c r="F116" s="455"/>
      <c r="G116" s="455"/>
      <c r="H116" s="455"/>
      <c r="I116" s="455"/>
      <c r="J116" s="455"/>
      <c r="M116" s="31"/>
      <c r="N116" s="31"/>
      <c r="O116" s="31"/>
    </row>
    <row r="117" spans="2:15">
      <c r="B117" s="396"/>
      <c r="C117" s="455"/>
      <c r="D117" s="455"/>
      <c r="E117" s="455"/>
      <c r="F117" s="455"/>
      <c r="G117" s="455"/>
      <c r="H117" s="455"/>
      <c r="I117" s="455"/>
      <c r="J117" s="455"/>
      <c r="K117" s="362"/>
      <c r="L117" s="362"/>
      <c r="M117" s="31"/>
      <c r="N117" s="31"/>
      <c r="O117" s="31"/>
    </row>
    <row r="118" spans="2:15">
      <c r="B118" s="465" t="s">
        <v>214</v>
      </c>
      <c r="C118" s="116">
        <v>2014</v>
      </c>
      <c r="D118" s="117">
        <f t="shared" ref="D118:L118" si="22">C118+1</f>
        <v>2015</v>
      </c>
      <c r="E118" s="117">
        <f t="shared" si="22"/>
        <v>2016</v>
      </c>
      <c r="F118" s="117">
        <f t="shared" si="22"/>
        <v>2017</v>
      </c>
      <c r="G118" s="117">
        <f t="shared" si="22"/>
        <v>2018</v>
      </c>
      <c r="H118" s="117">
        <f t="shared" si="22"/>
        <v>2019</v>
      </c>
      <c r="I118" s="117">
        <f t="shared" si="22"/>
        <v>2020</v>
      </c>
      <c r="J118" s="117">
        <f t="shared" si="22"/>
        <v>2021</v>
      </c>
      <c r="K118" s="117">
        <f t="shared" si="22"/>
        <v>2022</v>
      </c>
      <c r="L118" s="194">
        <f t="shared" si="22"/>
        <v>2023</v>
      </c>
      <c r="M118" s="31"/>
      <c r="N118" s="31"/>
      <c r="O118" s="31"/>
    </row>
    <row r="119" spans="2:15">
      <c r="B119" s="456" t="s">
        <v>43</v>
      </c>
      <c r="C119" s="556"/>
      <c r="D119" s="557"/>
      <c r="E119" s="458">
        <v>1.5575632164737283</v>
      </c>
      <c r="F119" s="458">
        <v>1.4734141240658321</v>
      </c>
      <c r="G119" s="458">
        <v>1.4689588897025405</v>
      </c>
      <c r="H119" s="458">
        <v>1.4707200530126929</v>
      </c>
      <c r="I119" s="458">
        <v>1.4674716260161711</v>
      </c>
      <c r="J119" s="458">
        <v>1.4486206224386007</v>
      </c>
      <c r="K119" s="458">
        <v>1.4956798325868756</v>
      </c>
      <c r="L119" s="459">
        <v>1.4397148718051931</v>
      </c>
      <c r="M119" s="31"/>
      <c r="N119" s="31"/>
      <c r="O119" s="31"/>
    </row>
    <row r="120" spans="2:15">
      <c r="B120" s="456" t="s">
        <v>44</v>
      </c>
      <c r="C120" s="558"/>
      <c r="D120" s="559"/>
      <c r="E120" s="460">
        <v>-0.65871781800535345</v>
      </c>
      <c r="F120" s="460">
        <v>-0.63543772576063684</v>
      </c>
      <c r="G120" s="460">
        <v>-0.58907862874233818</v>
      </c>
      <c r="H120" s="460">
        <v>-0.58178188190178026</v>
      </c>
      <c r="I120" s="460">
        <v>-0.56823918867341305</v>
      </c>
      <c r="J120" s="460">
        <v>-0.51933170333654122</v>
      </c>
      <c r="K120" s="460">
        <v>-0.47962665852661612</v>
      </c>
      <c r="L120" s="461">
        <v>-0.4656874701170608</v>
      </c>
      <c r="M120" s="31"/>
      <c r="N120" s="31"/>
      <c r="O120" s="31"/>
    </row>
    <row r="121" spans="2:15">
      <c r="B121" s="456" t="s">
        <v>73</v>
      </c>
      <c r="C121" s="558"/>
      <c r="D121" s="559"/>
      <c r="E121" s="460">
        <v>-0.86626036283610952</v>
      </c>
      <c r="F121" s="460">
        <v>-0.81019773780890636</v>
      </c>
      <c r="G121" s="460">
        <v>-0.78919084241395188</v>
      </c>
      <c r="H121" s="460">
        <v>-0.79061873066036981</v>
      </c>
      <c r="I121" s="460">
        <v>-0.74432653414361061</v>
      </c>
      <c r="J121" s="460">
        <v>-0.70697274816976396</v>
      </c>
      <c r="K121" s="460">
        <v>-0.65350946162011747</v>
      </c>
      <c r="L121" s="461">
        <v>-0.66429758885743451</v>
      </c>
      <c r="M121" s="31"/>
      <c r="N121" s="31"/>
      <c r="O121" s="31"/>
    </row>
    <row r="122" spans="2:15">
      <c r="B122" s="456" t="s">
        <v>59</v>
      </c>
      <c r="C122" s="558"/>
      <c r="D122" s="559"/>
      <c r="E122" s="460">
        <v>-3.2612134183503572</v>
      </c>
      <c r="F122" s="460">
        <v>-3.3462554451402173</v>
      </c>
      <c r="G122" s="460">
        <v>-3.1732919768141143</v>
      </c>
      <c r="H122" s="460">
        <v>-3.1232404745251841</v>
      </c>
      <c r="I122" s="460">
        <v>-3.0767551306224106</v>
      </c>
      <c r="J122" s="460">
        <v>-2.9342177182087767</v>
      </c>
      <c r="K122" s="460">
        <v>-2.8825938479182072</v>
      </c>
      <c r="L122" s="461">
        <v>-2.7237011003750218</v>
      </c>
      <c r="M122" s="31"/>
      <c r="N122" s="31"/>
      <c r="O122" s="31"/>
    </row>
    <row r="123" spans="2:15">
      <c r="B123" s="456" t="s">
        <v>57</v>
      </c>
      <c r="C123" s="558"/>
      <c r="D123" s="559"/>
      <c r="E123" s="460">
        <v>-2.4260972367898193</v>
      </c>
      <c r="F123" s="460">
        <v>-2.3690383662844163</v>
      </c>
      <c r="G123" s="460">
        <v>-2.2433276600060932</v>
      </c>
      <c r="H123" s="460">
        <v>-2.1466020621213828</v>
      </c>
      <c r="I123" s="460">
        <v>-2.174009678716605</v>
      </c>
      <c r="J123" s="460">
        <v>-2.0538927838998693</v>
      </c>
      <c r="K123" s="460">
        <v>-1.9044581231060691</v>
      </c>
      <c r="L123" s="461">
        <v>-1.8008611131009082</v>
      </c>
      <c r="M123" s="31"/>
      <c r="N123" s="31"/>
      <c r="O123" s="31"/>
    </row>
    <row r="124" spans="2:15">
      <c r="B124" s="456" t="s">
        <v>58</v>
      </c>
      <c r="C124" s="558"/>
      <c r="D124" s="559"/>
      <c r="E124" s="460">
        <v>-2.1861012409352765</v>
      </c>
      <c r="F124" s="460">
        <v>-2.3820447425774849</v>
      </c>
      <c r="G124" s="460">
        <v>-2.2418672366929897</v>
      </c>
      <c r="H124" s="460">
        <v>-2.1147812646907029</v>
      </c>
      <c r="I124" s="460">
        <v>-2.0146177086326591</v>
      </c>
      <c r="J124" s="460">
        <v>-1.9421313262105093</v>
      </c>
      <c r="K124" s="460">
        <v>-1.9248856430948595</v>
      </c>
      <c r="L124" s="461">
        <v>-1.8464451304225615</v>
      </c>
      <c r="M124" s="31"/>
      <c r="N124" s="31"/>
      <c r="O124" s="31"/>
    </row>
    <row r="125" spans="2:15">
      <c r="B125" s="456" t="s">
        <v>45</v>
      </c>
      <c r="C125" s="558"/>
      <c r="D125" s="559"/>
      <c r="E125" s="460">
        <v>-1.8633532543800757</v>
      </c>
      <c r="F125" s="460">
        <v>-1.8182980405067262</v>
      </c>
      <c r="G125" s="460">
        <v>-1.83946756302578</v>
      </c>
      <c r="H125" s="460">
        <v>-1.7415973428180247</v>
      </c>
      <c r="I125" s="460">
        <v>-1.6798002111470465</v>
      </c>
      <c r="J125" s="460">
        <v>-1.5974456358596774</v>
      </c>
      <c r="K125" s="460">
        <v>-1.5016396120831343</v>
      </c>
      <c r="L125" s="461">
        <v>-1.4453638876860204</v>
      </c>
      <c r="M125" s="31"/>
      <c r="N125" s="31"/>
      <c r="O125" s="31"/>
    </row>
    <row r="126" spans="2:15">
      <c r="B126" s="456" t="s">
        <v>46</v>
      </c>
      <c r="C126" s="558"/>
      <c r="D126" s="559"/>
      <c r="E126" s="460">
        <v>-2.1317145269512103</v>
      </c>
      <c r="F126" s="460">
        <v>-2.193973633026753</v>
      </c>
      <c r="G126" s="460">
        <v>-1.9869010217130036</v>
      </c>
      <c r="H126" s="460">
        <v>-1.8037552784318813</v>
      </c>
      <c r="I126" s="460">
        <v>-1.7767942495618843</v>
      </c>
      <c r="J126" s="460">
        <v>-1.7901472583807538</v>
      </c>
      <c r="K126" s="460">
        <v>-1.6444113686346382</v>
      </c>
      <c r="L126" s="461">
        <v>-1.467384504290556</v>
      </c>
      <c r="M126" s="31"/>
      <c r="N126" s="31"/>
      <c r="O126" s="31"/>
    </row>
    <row r="127" spans="2:15">
      <c r="B127" s="456" t="s">
        <v>47</v>
      </c>
      <c r="C127" s="558"/>
      <c r="D127" s="559"/>
      <c r="E127" s="460">
        <v>0.16599721814464838</v>
      </c>
      <c r="F127" s="460">
        <v>0.16631900606776751</v>
      </c>
      <c r="G127" s="460">
        <v>0.16554337895881124</v>
      </c>
      <c r="H127" s="460">
        <v>0.16569741136821181</v>
      </c>
      <c r="I127" s="460">
        <v>0.16622630759870036</v>
      </c>
      <c r="J127" s="460">
        <v>0.16380302414374548</v>
      </c>
      <c r="K127" s="460">
        <v>0.16593344617950709</v>
      </c>
      <c r="L127" s="461">
        <v>0.16036688822048883</v>
      </c>
      <c r="M127" s="31"/>
      <c r="N127" s="31"/>
      <c r="O127" s="31"/>
    </row>
    <row r="128" spans="2:15">
      <c r="B128" s="456" t="s">
        <v>48</v>
      </c>
      <c r="C128" s="558"/>
      <c r="D128" s="559"/>
      <c r="E128" s="460">
        <v>0.3648271976377423</v>
      </c>
      <c r="F128" s="460">
        <v>0.37109083837102003</v>
      </c>
      <c r="G128" s="460">
        <v>0.36071859106606846</v>
      </c>
      <c r="H128" s="460">
        <v>0.35927814835295946</v>
      </c>
      <c r="I128" s="460">
        <v>0.3227419487574148</v>
      </c>
      <c r="J128" s="460">
        <v>0.32139075529498529</v>
      </c>
      <c r="K128" s="460">
        <v>0.32876178406363676</v>
      </c>
      <c r="L128" s="461">
        <v>0.31920430794598709</v>
      </c>
      <c r="M128" s="31"/>
      <c r="N128" s="31"/>
      <c r="O128" s="31"/>
    </row>
    <row r="129" spans="2:15">
      <c r="B129" s="456" t="s">
        <v>246</v>
      </c>
      <c r="C129" s="558"/>
      <c r="D129" s="559"/>
      <c r="E129" s="460">
        <v>7.1281196754416492</v>
      </c>
      <c r="F129" s="460">
        <v>6.9674138399666772</v>
      </c>
      <c r="G129" s="460">
        <v>6.2034025893135132</v>
      </c>
      <c r="H129" s="460">
        <v>6.3085978915797085</v>
      </c>
      <c r="I129" s="460">
        <v>6.2376648400128394</v>
      </c>
      <c r="J129" s="460">
        <v>6.4865819943041139</v>
      </c>
      <c r="K129" s="460">
        <v>6.8152516624832584</v>
      </c>
      <c r="L129" s="461">
        <v>6.6271056201039169</v>
      </c>
      <c r="M129" s="31"/>
      <c r="N129" s="31"/>
      <c r="O129" s="31"/>
    </row>
    <row r="130" spans="2:15">
      <c r="B130" s="456" t="s">
        <v>247</v>
      </c>
      <c r="C130" s="558"/>
      <c r="D130" s="559"/>
      <c r="E130" s="460">
        <v>6.5079014730517413</v>
      </c>
      <c r="F130" s="460">
        <v>6.5166167406950333</v>
      </c>
      <c r="G130" s="460">
        <v>6.3292456496722922</v>
      </c>
      <c r="H130" s="460">
        <v>6.4407397408462082</v>
      </c>
      <c r="I130" s="460">
        <v>6.6367331985058957</v>
      </c>
      <c r="J130" s="460">
        <v>6.7568163761394304</v>
      </c>
      <c r="K130" s="460">
        <v>6.6961234445143969</v>
      </c>
      <c r="L130" s="461">
        <v>6.7647427548792596</v>
      </c>
      <c r="M130" s="31"/>
      <c r="N130" s="31"/>
      <c r="O130" s="31"/>
    </row>
    <row r="131" spans="2:15">
      <c r="B131" s="456" t="s">
        <v>248</v>
      </c>
      <c r="C131" s="558"/>
      <c r="D131" s="559"/>
      <c r="E131" s="460">
        <v>3.6763138465229663</v>
      </c>
      <c r="F131" s="460">
        <v>3.6748350873956013</v>
      </c>
      <c r="G131" s="460">
        <v>3.4998529635433906</v>
      </c>
      <c r="H131" s="460">
        <v>3.724685546648324</v>
      </c>
      <c r="I131" s="460">
        <v>3.4121739487309477</v>
      </c>
      <c r="J131" s="460">
        <v>3.4202241027689042</v>
      </c>
      <c r="K131" s="460">
        <v>3.3053549439575329</v>
      </c>
      <c r="L131" s="461">
        <v>3.3633285641010966</v>
      </c>
      <c r="M131" s="31"/>
      <c r="N131" s="31"/>
      <c r="O131" s="31"/>
    </row>
    <row r="132" spans="2:15">
      <c r="B132" s="456" t="s">
        <v>249</v>
      </c>
      <c r="C132" s="558"/>
      <c r="D132" s="559"/>
      <c r="E132" s="460">
        <v>5.3762701961708466</v>
      </c>
      <c r="F132" s="460">
        <v>5.3775969760840585</v>
      </c>
      <c r="G132" s="460">
        <v>5.2618102801807671</v>
      </c>
      <c r="H132" s="460">
        <v>5.360849180672294</v>
      </c>
      <c r="I132" s="460">
        <v>5.2665238228731912</v>
      </c>
      <c r="J132" s="460">
        <v>5.3271179030285305</v>
      </c>
      <c r="K132" s="460">
        <v>5.3223294006601192</v>
      </c>
      <c r="L132" s="461">
        <v>5.5699880746272257</v>
      </c>
      <c r="M132" s="31"/>
      <c r="N132" s="31"/>
      <c r="O132" s="31"/>
    </row>
    <row r="133" spans="2:15">
      <c r="B133" s="456" t="s">
        <v>53</v>
      </c>
      <c r="C133" s="462">
        <v>1.4371556068940596</v>
      </c>
      <c r="D133" s="460">
        <v>1.3718015630879741</v>
      </c>
      <c r="E133" s="460">
        <v>1.3507660107019517</v>
      </c>
      <c r="F133" s="460">
        <v>1.356812198977974</v>
      </c>
      <c r="G133" s="460">
        <v>1.3598136386487443</v>
      </c>
      <c r="H133" s="460">
        <v>1.3501475065962032</v>
      </c>
      <c r="I133" s="460">
        <v>1.3298433305384654</v>
      </c>
      <c r="J133" s="460">
        <v>1.3174540960763355</v>
      </c>
      <c r="K133" s="559"/>
      <c r="L133" s="560"/>
      <c r="M133" s="31"/>
      <c r="N133" s="31"/>
      <c r="O133" s="31"/>
    </row>
    <row r="134" spans="2:15">
      <c r="B134" s="456" t="s">
        <v>54</v>
      </c>
      <c r="C134" s="462">
        <v>1.2224510767557433</v>
      </c>
      <c r="D134" s="460">
        <v>1.2198157429394254</v>
      </c>
      <c r="E134" s="460">
        <v>1.2942164825881293</v>
      </c>
      <c r="F134" s="460">
        <v>1.2596396269108345</v>
      </c>
      <c r="G134" s="460">
        <v>1.2840112184368913</v>
      </c>
      <c r="H134" s="460">
        <v>1.2678511857965422</v>
      </c>
      <c r="I134" s="460">
        <v>1.2592019055105816</v>
      </c>
      <c r="J134" s="460">
        <v>1.257376658609527</v>
      </c>
      <c r="K134" s="559"/>
      <c r="L134" s="560"/>
      <c r="M134" s="31"/>
      <c r="N134" s="31"/>
      <c r="O134" s="31"/>
    </row>
    <row r="135" spans="2:15">
      <c r="B135" s="456" t="s">
        <v>55</v>
      </c>
      <c r="C135" s="462">
        <v>0.82325002294811445</v>
      </c>
      <c r="D135" s="460">
        <v>0.82663571281128501</v>
      </c>
      <c r="E135" s="460">
        <v>0.79640504595610451</v>
      </c>
      <c r="F135" s="460">
        <v>0.78757021450124798</v>
      </c>
      <c r="G135" s="460">
        <v>0.81133252861207505</v>
      </c>
      <c r="H135" s="460">
        <v>0.81064228783969072</v>
      </c>
      <c r="I135" s="460">
        <v>0.80900368952296353</v>
      </c>
      <c r="J135" s="460">
        <v>0.78043276967968189</v>
      </c>
      <c r="K135" s="559"/>
      <c r="L135" s="560"/>
      <c r="M135" s="31"/>
      <c r="N135" s="31"/>
      <c r="O135" s="31"/>
    </row>
    <row r="136" spans="2:15">
      <c r="B136" s="456" t="s">
        <v>56</v>
      </c>
      <c r="C136" s="462">
        <v>1.0893959849781105</v>
      </c>
      <c r="D136" s="460">
        <v>1.027913194554035</v>
      </c>
      <c r="E136" s="460">
        <v>1.0066987144123654</v>
      </c>
      <c r="F136" s="460">
        <v>1.0192350900597893</v>
      </c>
      <c r="G136" s="460">
        <v>1.0341480780318344</v>
      </c>
      <c r="H136" s="460">
        <v>1.0204240792759967</v>
      </c>
      <c r="I136" s="460">
        <v>1.0137739549704501</v>
      </c>
      <c r="J136" s="460">
        <v>0.9898055017218621</v>
      </c>
      <c r="K136" s="559"/>
      <c r="L136" s="560"/>
      <c r="M136" s="31"/>
      <c r="N136" s="31"/>
      <c r="O136" s="31"/>
    </row>
    <row r="137" spans="2:15">
      <c r="B137" s="456" t="s">
        <v>50</v>
      </c>
      <c r="C137" s="462">
        <v>3.0675250143183739</v>
      </c>
      <c r="D137" s="460">
        <v>3.1629219417602221</v>
      </c>
      <c r="E137" s="460">
        <v>3.2156604222069194</v>
      </c>
      <c r="F137" s="460">
        <v>3.1773534622131239</v>
      </c>
      <c r="G137" s="460">
        <v>2.9925267771957293</v>
      </c>
      <c r="H137" s="460">
        <v>2.9953978987575276</v>
      </c>
      <c r="I137" s="460">
        <v>3.008780645638939</v>
      </c>
      <c r="J137" s="460">
        <v>3.0035530345258876</v>
      </c>
      <c r="K137" s="559"/>
      <c r="L137" s="560"/>
      <c r="M137" s="31"/>
      <c r="N137" s="31"/>
      <c r="O137" s="31"/>
    </row>
    <row r="138" spans="2:15">
      <c r="B138" s="456" t="s">
        <v>52</v>
      </c>
      <c r="C138" s="462">
        <v>2.1240897362733717</v>
      </c>
      <c r="D138" s="460">
        <v>2.0350723340362249</v>
      </c>
      <c r="E138" s="460">
        <v>1.9686998072928457</v>
      </c>
      <c r="F138" s="460">
        <v>2.0858456765056492</v>
      </c>
      <c r="G138" s="460">
        <v>2.1150393198028121</v>
      </c>
      <c r="H138" s="460">
        <v>2.0960407823683633</v>
      </c>
      <c r="I138" s="460">
        <v>1.9709648894580449</v>
      </c>
      <c r="J138" s="460">
        <v>1.9558237270696361</v>
      </c>
      <c r="K138" s="559"/>
      <c r="L138" s="560"/>
      <c r="M138" s="31"/>
      <c r="N138" s="31"/>
      <c r="O138" s="31"/>
    </row>
    <row r="139" spans="2:15">
      <c r="B139" s="456" t="s">
        <v>51</v>
      </c>
      <c r="C139" s="462">
        <v>4.3724011747736116</v>
      </c>
      <c r="D139" s="460">
        <v>4.1057641662653896</v>
      </c>
      <c r="E139" s="460">
        <v>4.0545669929819539</v>
      </c>
      <c r="F139" s="460">
        <v>4.1740927460581894</v>
      </c>
      <c r="G139" s="460">
        <v>4.2397101975440528</v>
      </c>
      <c r="H139" s="460">
        <v>4.2461477210751069</v>
      </c>
      <c r="I139" s="460">
        <v>4.1078523076276792</v>
      </c>
      <c r="J139" s="460">
        <v>4.0575944965475035</v>
      </c>
      <c r="K139" s="559"/>
      <c r="L139" s="560"/>
      <c r="M139" s="31"/>
      <c r="N139" s="31"/>
      <c r="O139" s="31"/>
    </row>
    <row r="140" spans="2:15">
      <c r="B140" s="456" t="s">
        <v>49</v>
      </c>
      <c r="C140" s="462">
        <v>1.3982776671905828</v>
      </c>
      <c r="D140" s="460">
        <v>1.3864649866746799</v>
      </c>
      <c r="E140" s="460">
        <v>1.3673040530931269</v>
      </c>
      <c r="F140" s="460">
        <v>1.3493453776780693</v>
      </c>
      <c r="G140" s="460">
        <v>1.3347777856873293</v>
      </c>
      <c r="H140" s="460">
        <v>1.3354887108693174</v>
      </c>
      <c r="I140" s="460">
        <v>1.3597799661606067</v>
      </c>
      <c r="J140" s="460">
        <v>1.3515240072037848</v>
      </c>
      <c r="K140" s="559"/>
      <c r="L140" s="560"/>
      <c r="M140" s="31"/>
      <c r="N140" s="31"/>
      <c r="O140" s="31"/>
    </row>
    <row r="141" spans="2:15">
      <c r="B141" s="456" t="s">
        <v>113</v>
      </c>
      <c r="C141" s="462">
        <v>-1.1295718210052885</v>
      </c>
      <c r="D141" s="460">
        <v>-1.1444007312827333</v>
      </c>
      <c r="E141" s="460">
        <v>-1.1763817360750841</v>
      </c>
      <c r="F141" s="460">
        <v>-1.5927557463957547</v>
      </c>
      <c r="G141" s="460">
        <v>-1.8565667598967899</v>
      </c>
      <c r="H141" s="460">
        <v>-1.2720416735170972</v>
      </c>
      <c r="I141" s="460">
        <v>-1.1039739947823479</v>
      </c>
      <c r="J141" s="460">
        <v>-1.018311326547777</v>
      </c>
      <c r="K141" s="559"/>
      <c r="L141" s="560"/>
      <c r="M141" s="31"/>
      <c r="N141" s="31"/>
      <c r="O141" s="31"/>
    </row>
    <row r="142" spans="2:15">
      <c r="B142" s="456" t="s">
        <v>114</v>
      </c>
      <c r="C142" s="462">
        <v>-0.43181154987245485</v>
      </c>
      <c r="D142" s="460">
        <v>-0.39947195996305995</v>
      </c>
      <c r="E142" s="460">
        <v>-0.34734317043598018</v>
      </c>
      <c r="F142" s="460">
        <v>-0.3193206524905472</v>
      </c>
      <c r="G142" s="460">
        <v>-0.31265626882301373</v>
      </c>
      <c r="H142" s="460">
        <v>-0.30799379948941219</v>
      </c>
      <c r="I142" s="460">
        <v>-0.32570922921081308</v>
      </c>
      <c r="J142" s="460">
        <v>-0.31552026220892354</v>
      </c>
      <c r="K142" s="559"/>
      <c r="L142" s="560"/>
      <c r="M142" s="31"/>
      <c r="N142" s="31"/>
      <c r="O142" s="31"/>
    </row>
    <row r="143" spans="2:15">
      <c r="B143" s="456" t="s">
        <v>111</v>
      </c>
      <c r="C143" s="462">
        <v>15.168246288518162</v>
      </c>
      <c r="D143" s="460">
        <v>16.275110005972994</v>
      </c>
      <c r="E143" s="460">
        <v>15.614702904478012</v>
      </c>
      <c r="F143" s="460">
        <v>14.911674359737152</v>
      </c>
      <c r="G143" s="460">
        <v>13.033415757853545</v>
      </c>
      <c r="H143" s="460">
        <v>12.556067765830047</v>
      </c>
      <c r="I143" s="460">
        <v>11.285100906339711</v>
      </c>
      <c r="J143" s="460">
        <v>9.8268179419485548</v>
      </c>
      <c r="K143" s="559"/>
      <c r="L143" s="560"/>
      <c r="M143" s="31"/>
      <c r="N143" s="31"/>
      <c r="O143" s="31"/>
    </row>
    <row r="144" spans="2:15">
      <c r="B144" s="456" t="s">
        <v>112</v>
      </c>
      <c r="C144" s="462">
        <v>0.93219394583370063</v>
      </c>
      <c r="D144" s="460">
        <v>0.89969793099769957</v>
      </c>
      <c r="E144" s="460">
        <v>0.87783267686821997</v>
      </c>
      <c r="F144" s="460">
        <v>0.87232109317784756</v>
      </c>
      <c r="G144" s="460">
        <v>0.89875958568159287</v>
      </c>
      <c r="H144" s="460">
        <v>0.82801710222961222</v>
      </c>
      <c r="I144" s="460">
        <v>0.88417658562860901</v>
      </c>
      <c r="J144" s="460">
        <v>0.89982415652833247</v>
      </c>
      <c r="K144" s="559"/>
      <c r="L144" s="560"/>
      <c r="M144" s="31"/>
      <c r="N144" s="31"/>
      <c r="O144" s="31"/>
    </row>
    <row r="145" spans="1:15">
      <c r="B145" s="456" t="s">
        <v>60</v>
      </c>
      <c r="C145" s="462">
        <v>10.952751093909903</v>
      </c>
      <c r="D145" s="460">
        <v>1.3412683602121493</v>
      </c>
      <c r="E145" s="460">
        <v>22.190179414419269</v>
      </c>
      <c r="F145" s="460">
        <v>7.0488483253947072</v>
      </c>
      <c r="G145" s="460">
        <v>6.9020695692988534</v>
      </c>
      <c r="H145" s="460">
        <v>6.9425238085580094</v>
      </c>
      <c r="I145" s="460">
        <v>7.0785069781779111</v>
      </c>
      <c r="J145" s="460">
        <v>5.2688524500291916</v>
      </c>
      <c r="K145" s="559"/>
      <c r="L145" s="560"/>
      <c r="M145" s="31"/>
      <c r="N145" s="31"/>
      <c r="O145" s="31"/>
    </row>
    <row r="146" spans="1:15">
      <c r="B146" s="457" t="s">
        <v>61</v>
      </c>
      <c r="C146" s="463">
        <v>4.7850556060781999</v>
      </c>
      <c r="D146" s="464">
        <v>4.9736597194598335</v>
      </c>
      <c r="E146" s="464">
        <v>5.6988662496343032</v>
      </c>
      <c r="F146" s="464">
        <v>3.7921077312788807</v>
      </c>
      <c r="G146" s="464">
        <v>2.8512563802087829</v>
      </c>
      <c r="H146" s="464">
        <v>2.8799765245720623</v>
      </c>
      <c r="I146" s="464">
        <v>2.9074703511454074</v>
      </c>
      <c r="J146" s="464">
        <v>2.8191074376225309</v>
      </c>
      <c r="K146" s="561"/>
      <c r="L146" s="562"/>
      <c r="M146" s="31"/>
      <c r="N146" s="31"/>
      <c r="O146" s="31"/>
    </row>
    <row r="147" spans="1:15">
      <c r="B147" s="31"/>
      <c r="C147" s="31"/>
      <c r="D147" s="31"/>
      <c r="E147" s="31"/>
      <c r="F147" s="31"/>
      <c r="G147" s="31"/>
      <c r="H147" s="31"/>
      <c r="I147" s="31"/>
      <c r="J147" s="31"/>
      <c r="K147" s="31"/>
      <c r="L147" s="31"/>
      <c r="M147" s="31"/>
      <c r="N147" s="31"/>
      <c r="O147" s="31"/>
    </row>
    <row r="148" spans="1:15">
      <c r="B148" s="396"/>
      <c r="C148" s="362"/>
      <c r="D148" s="362"/>
      <c r="E148" s="362"/>
      <c r="F148" s="362"/>
      <c r="G148" s="362"/>
      <c r="H148" s="362"/>
      <c r="I148" s="362"/>
      <c r="J148" s="362"/>
      <c r="K148" s="31"/>
      <c r="L148" s="31"/>
      <c r="M148" s="31"/>
    </row>
    <row r="149" spans="1:15">
      <c r="B149" s="419" t="str">
        <f>LEFT('RFPR cover'!C6,2)</f>
        <v>ED</v>
      </c>
      <c r="C149" s="417"/>
      <c r="D149" s="417"/>
      <c r="E149" s="417"/>
      <c r="F149" s="417"/>
      <c r="G149" s="417"/>
      <c r="H149" s="417"/>
      <c r="I149" s="417"/>
      <c r="J149" s="417"/>
      <c r="K149" s="417"/>
      <c r="L149" s="418"/>
    </row>
    <row r="150" spans="1:15" ht="14.25" customHeight="1">
      <c r="A150" s="204"/>
      <c r="B150" s="453" t="s">
        <v>404</v>
      </c>
      <c r="C150" s="454"/>
      <c r="D150" s="454"/>
      <c r="E150" s="454"/>
      <c r="F150" s="452"/>
      <c r="G150" s="452"/>
      <c r="H150" s="452"/>
      <c r="I150" s="452"/>
      <c r="J150" s="452"/>
      <c r="K150" s="452"/>
      <c r="L150" s="452"/>
      <c r="M150" s="452"/>
      <c r="N150" s="452"/>
    </row>
    <row r="151" spans="1:15" s="31" customFormat="1" ht="14.25" customHeight="1">
      <c r="A151" s="791"/>
      <c r="B151" s="792"/>
      <c r="C151" s="793"/>
      <c r="D151" s="793"/>
      <c r="E151" s="793"/>
      <c r="F151" s="794"/>
      <c r="G151" s="794"/>
      <c r="H151" s="794"/>
      <c r="I151" s="794"/>
      <c r="J151" s="794"/>
      <c r="K151" s="794"/>
      <c r="L151" s="794"/>
      <c r="M151" s="794"/>
      <c r="N151" s="794"/>
    </row>
    <row r="152" spans="1:15">
      <c r="A152" s="202"/>
      <c r="B152" s="795" t="s">
        <v>410</v>
      </c>
      <c r="C152" s="205"/>
      <c r="D152" s="205"/>
      <c r="E152" s="796" t="b">
        <f>OR((LEFT('RFPR cover'!$C$6,2)=Data!F152),'RFPR cover'!$C$5=Data!F152)</f>
        <v>1</v>
      </c>
      <c r="F152" s="361" t="str">
        <f>B162</f>
        <v>ED</v>
      </c>
      <c r="G152" s="797"/>
    </row>
    <row r="153" spans="1:15">
      <c r="A153" s="202"/>
      <c r="B153" s="812" t="str">
        <f>CHOOSE(MATCH(TRUE,$E$152:$E$159,0),B163,B173,B183,E183,B193,E193,B203,E203)&amp;""</f>
        <v>Broad measure of customer service</v>
      </c>
      <c r="C153" s="205"/>
      <c r="D153" s="205"/>
      <c r="E153" s="798" t="b">
        <f>OR((LEFT('RFPR cover'!$C$6,2)=Data!F153),'RFPR cover'!$C$5=Data!F153)</f>
        <v>0</v>
      </c>
      <c r="F153" s="362" t="str">
        <f>B172</f>
        <v>GD</v>
      </c>
      <c r="G153" s="201"/>
    </row>
    <row r="154" spans="1:15">
      <c r="A154" s="202"/>
      <c r="B154" s="813" t="str">
        <f t="shared" ref="B154:B160" si="23">CHOOSE(MATCH(TRUE,$E$152:$E$159,0),B164,B174,B184,E184,B194,E194,B204,E204)&amp;""</f>
        <v>Interruptions-related quality of service</v>
      </c>
      <c r="C154" s="205"/>
      <c r="D154" s="205"/>
      <c r="E154" s="798" t="b">
        <f>OR((LEFT('RFPR cover'!$C$6,2)=Data!F154),'RFPR cover'!$C$5=Data!F154)</f>
        <v>0</v>
      </c>
      <c r="F154" s="811" t="str">
        <f>B182</f>
        <v>NGGT (TO)</v>
      </c>
      <c r="G154" s="201"/>
    </row>
    <row r="155" spans="1:15">
      <c r="A155" s="202"/>
      <c r="B155" s="813" t="str">
        <f t="shared" si="23"/>
        <v>Incentive on connections engagement</v>
      </c>
      <c r="C155" s="205"/>
      <c r="D155" s="205"/>
      <c r="E155" s="798" t="b">
        <f>OR((LEFT('RFPR cover'!$C$6,2)=Data!F155),'RFPR cover'!$C$5=Data!F155)</f>
        <v>0</v>
      </c>
      <c r="F155" s="799" t="str">
        <f>E182</f>
        <v>NGGT (SO)</v>
      </c>
      <c r="G155" s="201"/>
    </row>
    <row r="156" spans="1:15">
      <c r="A156" s="202"/>
      <c r="B156" s="813" t="str">
        <f t="shared" si="23"/>
        <v>Time to Connect Incentive</v>
      </c>
      <c r="C156" s="205"/>
      <c r="D156" s="205"/>
      <c r="E156" s="798" t="b">
        <f>OR((LEFT('RFPR cover'!$C$6,2)=Data!F156),'RFPR cover'!$C$5=Data!F156)</f>
        <v>0</v>
      </c>
      <c r="F156" s="799" t="str">
        <f>B192</f>
        <v>NGET (TO)</v>
      </c>
      <c r="G156" s="201"/>
    </row>
    <row r="157" spans="1:15">
      <c r="A157" s="202"/>
      <c r="B157" s="814" t="str">
        <f t="shared" si="23"/>
        <v>Losses discretionary reward scheme</v>
      </c>
      <c r="C157" s="205"/>
      <c r="D157" s="205"/>
      <c r="E157" s="798" t="b">
        <f>OR((LEFT('RFPR cover'!$C$6,2)=Data!F157),'RFPR cover'!$C$5=Data!F157)</f>
        <v>0</v>
      </c>
      <c r="F157" s="799" t="str">
        <f>E192</f>
        <v>NGET (SO)</v>
      </c>
      <c r="G157" s="201"/>
    </row>
    <row r="158" spans="1:15">
      <c r="A158" s="202"/>
      <c r="B158" s="814" t="str">
        <f t="shared" si="23"/>
        <v/>
      </c>
      <c r="C158" s="205"/>
      <c r="D158" s="205"/>
      <c r="E158" s="798" t="b">
        <f>OR((LEFT('RFPR cover'!$C$6,2)=Data!F158),'RFPR cover'!$C$5=Data!F158)</f>
        <v>0</v>
      </c>
      <c r="F158" s="799" t="str">
        <f>B202</f>
        <v>SPT</v>
      </c>
      <c r="G158" s="201"/>
    </row>
    <row r="159" spans="1:15">
      <c r="A159" s="202"/>
      <c r="B159" s="814" t="str">
        <f t="shared" si="23"/>
        <v/>
      </c>
      <c r="C159" s="205"/>
      <c r="D159" s="205"/>
      <c r="E159" s="800" t="b">
        <f>OR((LEFT('RFPR cover'!$C$6,2)=Data!F159),'RFPR cover'!$C$5=Data!F159)</f>
        <v>0</v>
      </c>
      <c r="F159" s="801" t="str">
        <f>E202</f>
        <v>SHET</v>
      </c>
      <c r="G159" s="295"/>
    </row>
    <row r="160" spans="1:15">
      <c r="A160" s="202"/>
      <c r="B160" s="205" t="str">
        <f t="shared" si="23"/>
        <v/>
      </c>
      <c r="C160" s="205"/>
      <c r="D160" s="205"/>
      <c r="E160" s="59"/>
      <c r="F160" s="799"/>
      <c r="G160" s="42"/>
    </row>
    <row r="161" spans="1:7">
      <c r="A161" s="202"/>
      <c r="B161" s="205"/>
      <c r="C161" s="205"/>
      <c r="D161" s="205"/>
      <c r="E161" s="59"/>
      <c r="F161" s="799"/>
      <c r="G161" s="42"/>
    </row>
    <row r="162" spans="1:7" ht="12" customHeight="1">
      <c r="A162" s="202"/>
      <c r="B162" s="974" t="s">
        <v>172</v>
      </c>
      <c r="C162" s="970"/>
      <c r="D162" s="205"/>
      <c r="E162" s="205"/>
    </row>
    <row r="163" spans="1:7">
      <c r="A163" s="202"/>
      <c r="B163" s="975" t="s">
        <v>405</v>
      </c>
      <c r="C163" s="976"/>
      <c r="D163" s="205"/>
      <c r="E163" s="205"/>
    </row>
    <row r="164" spans="1:7">
      <c r="A164" s="202"/>
      <c r="B164" s="975" t="s">
        <v>406</v>
      </c>
      <c r="C164" s="976"/>
      <c r="D164" s="205"/>
      <c r="E164" s="205"/>
    </row>
    <row r="165" spans="1:7">
      <c r="A165" s="202"/>
      <c r="B165" s="977" t="s">
        <v>407</v>
      </c>
      <c r="C165" s="978"/>
      <c r="D165" s="205"/>
      <c r="E165" s="205"/>
    </row>
    <row r="166" spans="1:7">
      <c r="A166" s="202"/>
      <c r="B166" s="977" t="s">
        <v>408</v>
      </c>
      <c r="C166" s="978"/>
      <c r="D166" s="205"/>
      <c r="E166" s="205"/>
    </row>
    <row r="167" spans="1:7">
      <c r="A167" s="202"/>
      <c r="B167" s="977" t="s">
        <v>409</v>
      </c>
      <c r="C167" s="978"/>
      <c r="D167" s="205"/>
      <c r="E167" s="205"/>
    </row>
    <row r="168" spans="1:7">
      <c r="A168" s="202"/>
      <c r="B168" s="977"/>
      <c r="C168" s="978"/>
      <c r="D168" s="205"/>
      <c r="E168" s="205"/>
    </row>
    <row r="169" spans="1:7">
      <c r="A169" s="202"/>
      <c r="B169" s="977"/>
      <c r="C169" s="978"/>
      <c r="D169" s="205"/>
      <c r="E169" s="205"/>
    </row>
    <row r="170" spans="1:7">
      <c r="A170" s="202"/>
      <c r="B170" s="205"/>
      <c r="C170" s="205"/>
      <c r="D170" s="205"/>
      <c r="E170" s="205"/>
    </row>
    <row r="171" spans="1:7">
      <c r="A171" s="202"/>
      <c r="B171" s="205"/>
      <c r="C171" s="205"/>
      <c r="D171" s="205"/>
      <c r="E171" s="205"/>
    </row>
    <row r="172" spans="1:7">
      <c r="A172" s="202"/>
      <c r="B172" s="974" t="s">
        <v>173</v>
      </c>
      <c r="C172" s="970"/>
      <c r="D172" s="205"/>
      <c r="E172" s="205"/>
    </row>
    <row r="173" spans="1:7" ht="12.75" customHeight="1">
      <c r="A173" s="202"/>
      <c r="B173" s="971" t="s">
        <v>223</v>
      </c>
      <c r="C173" s="973"/>
      <c r="D173" s="205"/>
      <c r="E173" s="205"/>
    </row>
    <row r="174" spans="1:7" ht="12.75" customHeight="1">
      <c r="A174" s="202"/>
      <c r="B174" s="965" t="s">
        <v>224</v>
      </c>
      <c r="C174" s="967"/>
      <c r="D174" s="205"/>
      <c r="E174" s="205"/>
    </row>
    <row r="175" spans="1:7" ht="12.75" customHeight="1">
      <c r="A175" s="202"/>
      <c r="B175" s="965" t="s">
        <v>225</v>
      </c>
      <c r="C175" s="967"/>
      <c r="D175" s="205"/>
      <c r="E175" s="205"/>
    </row>
    <row r="176" spans="1:7" ht="12.75" customHeight="1">
      <c r="A176" s="202"/>
      <c r="B176" s="965" t="s">
        <v>226</v>
      </c>
      <c r="C176" s="967"/>
      <c r="D176" s="205"/>
      <c r="E176" s="205"/>
    </row>
    <row r="177" spans="1:9" ht="12.75" customHeight="1">
      <c r="A177" s="202"/>
      <c r="B177" s="962" t="s">
        <v>308</v>
      </c>
      <c r="C177" s="964"/>
      <c r="D177" s="205"/>
      <c r="E177" s="205"/>
    </row>
    <row r="178" spans="1:9" ht="12.75" customHeight="1">
      <c r="A178" s="202"/>
      <c r="B178" s="962"/>
      <c r="C178" s="964"/>
      <c r="D178" s="205"/>
      <c r="E178" s="205"/>
    </row>
    <row r="179" spans="1:9" ht="12.75" customHeight="1">
      <c r="A179" s="202"/>
      <c r="B179" s="962"/>
      <c r="C179" s="964"/>
      <c r="D179" s="205"/>
      <c r="E179" s="205"/>
    </row>
    <row r="180" spans="1:9">
      <c r="A180" s="202"/>
      <c r="B180" s="205"/>
      <c r="C180" s="205"/>
      <c r="D180" s="205"/>
      <c r="E180" s="205"/>
    </row>
    <row r="181" spans="1:9">
      <c r="A181" s="202"/>
      <c r="B181" s="205"/>
      <c r="C181" s="205"/>
      <c r="D181" s="205"/>
      <c r="E181" s="205"/>
    </row>
    <row r="182" spans="1:9">
      <c r="A182" s="202"/>
      <c r="B182" s="968" t="str">
        <f>B95</f>
        <v>NGGT (TO)</v>
      </c>
      <c r="C182" s="1000"/>
      <c r="D182" s="205"/>
      <c r="E182" s="968" t="str">
        <f>B96</f>
        <v>NGGT (SO)</v>
      </c>
      <c r="F182" s="969"/>
      <c r="G182" s="969"/>
      <c r="H182" s="969"/>
      <c r="I182" s="970"/>
    </row>
    <row r="183" spans="1:9" ht="12.45" customHeight="1">
      <c r="A183" s="202"/>
      <c r="B183" s="971" t="s">
        <v>219</v>
      </c>
      <c r="C183" s="973"/>
      <c r="D183" s="205"/>
      <c r="E183" s="965" t="s">
        <v>557</v>
      </c>
      <c r="F183" s="966" t="s">
        <v>557</v>
      </c>
      <c r="G183" s="966" t="s">
        <v>557</v>
      </c>
      <c r="H183" s="966" t="s">
        <v>557</v>
      </c>
      <c r="I183" s="967" t="s">
        <v>557</v>
      </c>
    </row>
    <row r="184" spans="1:9" ht="12.45" customHeight="1">
      <c r="A184" s="202"/>
      <c r="B184" s="965" t="s">
        <v>227</v>
      </c>
      <c r="C184" s="967"/>
      <c r="D184" s="205"/>
      <c r="E184" s="965" t="s">
        <v>558</v>
      </c>
      <c r="F184" s="966" t="s">
        <v>558</v>
      </c>
      <c r="G184" s="966" t="s">
        <v>558</v>
      </c>
      <c r="H184" s="966" t="s">
        <v>558</v>
      </c>
      <c r="I184" s="967" t="s">
        <v>558</v>
      </c>
    </row>
    <row r="185" spans="1:9" ht="12.45" customHeight="1">
      <c r="A185" s="202"/>
      <c r="B185" s="965"/>
      <c r="C185" s="967"/>
      <c r="D185" s="205"/>
      <c r="E185" s="965" t="s">
        <v>559</v>
      </c>
      <c r="F185" s="966" t="s">
        <v>559</v>
      </c>
      <c r="G185" s="966" t="s">
        <v>559</v>
      </c>
      <c r="H185" s="966" t="s">
        <v>559</v>
      </c>
      <c r="I185" s="967" t="s">
        <v>559</v>
      </c>
    </row>
    <row r="186" spans="1:9" ht="12.45" customHeight="1">
      <c r="A186" s="202"/>
      <c r="B186" s="965"/>
      <c r="C186" s="967"/>
      <c r="D186" s="205"/>
      <c r="E186" s="965" t="s">
        <v>560</v>
      </c>
      <c r="F186" s="966" t="s">
        <v>560</v>
      </c>
      <c r="G186" s="966" t="s">
        <v>560</v>
      </c>
      <c r="H186" s="966" t="s">
        <v>560</v>
      </c>
      <c r="I186" s="967" t="s">
        <v>560</v>
      </c>
    </row>
    <row r="187" spans="1:9" ht="12.45" customHeight="1">
      <c r="A187" s="202"/>
      <c r="B187" s="962"/>
      <c r="C187" s="964"/>
      <c r="D187" s="205"/>
      <c r="E187" s="965" t="s">
        <v>561</v>
      </c>
      <c r="F187" s="966" t="s">
        <v>561</v>
      </c>
      <c r="G187" s="966" t="s">
        <v>561</v>
      </c>
      <c r="H187" s="966" t="s">
        <v>561</v>
      </c>
      <c r="I187" s="967" t="s">
        <v>561</v>
      </c>
    </row>
    <row r="188" spans="1:9" ht="12.45" customHeight="1">
      <c r="A188" s="202"/>
      <c r="B188" s="962"/>
      <c r="C188" s="964"/>
      <c r="D188" s="205"/>
      <c r="E188" s="965" t="s">
        <v>562</v>
      </c>
      <c r="F188" s="966" t="s">
        <v>562</v>
      </c>
      <c r="G188" s="966" t="s">
        <v>562</v>
      </c>
      <c r="H188" s="966" t="s">
        <v>562</v>
      </c>
      <c r="I188" s="967" t="s">
        <v>562</v>
      </c>
    </row>
    <row r="189" spans="1:9" ht="12.45" customHeight="1">
      <c r="A189" s="202"/>
      <c r="B189" s="962"/>
      <c r="C189" s="964"/>
      <c r="D189" s="205"/>
      <c r="E189" s="965" t="s">
        <v>563</v>
      </c>
      <c r="F189" s="966" t="s">
        <v>563</v>
      </c>
      <c r="G189" s="966" t="s">
        <v>563</v>
      </c>
      <c r="H189" s="966" t="s">
        <v>563</v>
      </c>
      <c r="I189" s="967" t="s">
        <v>563</v>
      </c>
    </row>
    <row r="190" spans="1:9">
      <c r="A190" s="202"/>
      <c r="B190" s="205"/>
      <c r="C190" s="205"/>
      <c r="D190" s="205"/>
      <c r="E190" s="205"/>
    </row>
    <row r="191" spans="1:9">
      <c r="A191" s="202"/>
      <c r="B191" s="205"/>
      <c r="C191" s="205"/>
      <c r="D191" s="205"/>
      <c r="E191" s="205"/>
    </row>
    <row r="192" spans="1:9">
      <c r="A192" s="202"/>
      <c r="B192" s="968" t="str">
        <f>B97</f>
        <v>NGET (TO)</v>
      </c>
      <c r="C192" s="1000"/>
      <c r="D192" s="205"/>
      <c r="E192" s="968" t="str">
        <f>B98</f>
        <v>NGET (SO)</v>
      </c>
      <c r="F192" s="969"/>
      <c r="G192" s="969"/>
      <c r="H192" s="969"/>
      <c r="I192" s="970"/>
    </row>
    <row r="193" spans="1:9" ht="12.75" customHeight="1">
      <c r="A193" s="202"/>
      <c r="B193" s="971" t="s">
        <v>218</v>
      </c>
      <c r="C193" s="973"/>
      <c r="D193" s="205"/>
      <c r="E193" s="965" t="s">
        <v>564</v>
      </c>
      <c r="F193" s="966" t="s">
        <v>564</v>
      </c>
      <c r="G193" s="966" t="s">
        <v>564</v>
      </c>
      <c r="H193" s="966" t="s">
        <v>564</v>
      </c>
      <c r="I193" s="967" t="s">
        <v>564</v>
      </c>
    </row>
    <row r="194" spans="1:9" ht="12.75" customHeight="1">
      <c r="A194" s="202"/>
      <c r="B194" s="965" t="s">
        <v>219</v>
      </c>
      <c r="C194" s="967"/>
      <c r="D194" s="205"/>
      <c r="E194" s="965" t="s">
        <v>565</v>
      </c>
      <c r="F194" s="966" t="s">
        <v>565</v>
      </c>
      <c r="G194" s="966" t="s">
        <v>565</v>
      </c>
      <c r="H194" s="966" t="s">
        <v>565</v>
      </c>
      <c r="I194" s="967" t="s">
        <v>565</v>
      </c>
    </row>
    <row r="195" spans="1:9" ht="12.75" customHeight="1">
      <c r="A195" s="202"/>
      <c r="B195" s="965" t="s">
        <v>220</v>
      </c>
      <c r="C195" s="967"/>
      <c r="D195" s="205"/>
      <c r="E195" s="965" t="s">
        <v>566</v>
      </c>
      <c r="F195" s="966" t="s">
        <v>566</v>
      </c>
      <c r="G195" s="966" t="s">
        <v>566</v>
      </c>
      <c r="H195" s="966" t="s">
        <v>566</v>
      </c>
      <c r="I195" s="967" t="s">
        <v>566</v>
      </c>
    </row>
    <row r="196" spans="1:9" ht="12.75" customHeight="1">
      <c r="A196" s="202"/>
      <c r="B196" s="965" t="s">
        <v>221</v>
      </c>
      <c r="C196" s="967"/>
      <c r="D196" s="205"/>
      <c r="E196" s="965"/>
      <c r="F196" s="966"/>
      <c r="G196" s="966"/>
      <c r="H196" s="966"/>
      <c r="I196" s="967"/>
    </row>
    <row r="197" spans="1:9" ht="12.75" customHeight="1">
      <c r="A197" s="202"/>
      <c r="B197" s="962"/>
      <c r="C197" s="964"/>
      <c r="D197" s="205"/>
      <c r="E197" s="962"/>
      <c r="F197" s="963"/>
      <c r="G197" s="963"/>
      <c r="H197" s="963"/>
      <c r="I197" s="964"/>
    </row>
    <row r="198" spans="1:9" ht="12.75" customHeight="1">
      <c r="A198" s="202"/>
      <c r="B198" s="962"/>
      <c r="C198" s="964"/>
      <c r="D198" s="205"/>
      <c r="E198" s="962"/>
      <c r="F198" s="963"/>
      <c r="G198" s="963"/>
      <c r="H198" s="963"/>
      <c r="I198" s="964"/>
    </row>
    <row r="199" spans="1:9" ht="12.75" customHeight="1">
      <c r="A199" s="202"/>
      <c r="B199" s="962"/>
      <c r="C199" s="964"/>
      <c r="D199" s="205"/>
      <c r="E199" s="962"/>
      <c r="F199" s="963"/>
      <c r="G199" s="963"/>
      <c r="H199" s="963"/>
      <c r="I199" s="964"/>
    </row>
    <row r="200" spans="1:9" s="31" customFormat="1" ht="12.75" customHeight="1">
      <c r="A200" s="788"/>
      <c r="B200" s="788"/>
      <c r="C200" s="788"/>
      <c r="D200" s="789"/>
      <c r="E200" s="790"/>
      <c r="F200" s="790"/>
      <c r="G200" s="790"/>
      <c r="H200" s="790"/>
      <c r="I200" s="790"/>
    </row>
    <row r="201" spans="1:9" s="31" customFormat="1" ht="12.75" customHeight="1">
      <c r="A201" s="788"/>
      <c r="B201" s="788"/>
      <c r="C201" s="788"/>
      <c r="D201" s="789"/>
      <c r="E201" s="790"/>
      <c r="F201" s="790"/>
      <c r="G201" s="790"/>
      <c r="H201" s="790"/>
      <c r="I201" s="790"/>
    </row>
    <row r="202" spans="1:9">
      <c r="A202" s="202"/>
      <c r="B202" s="968" t="str">
        <f>B145</f>
        <v>SPT</v>
      </c>
      <c r="C202" s="1000"/>
      <c r="D202" s="205"/>
      <c r="E202" s="968" t="str">
        <f>B100</f>
        <v>SHET</v>
      </c>
      <c r="F202" s="969"/>
      <c r="G202" s="969"/>
      <c r="H202" s="969"/>
      <c r="I202" s="970"/>
    </row>
    <row r="203" spans="1:9" ht="12.75" customHeight="1">
      <c r="A203" s="202"/>
      <c r="B203" s="971" t="s">
        <v>218</v>
      </c>
      <c r="C203" s="973"/>
      <c r="D203" s="205"/>
      <c r="E203" s="971" t="s">
        <v>218</v>
      </c>
      <c r="F203" s="972"/>
      <c r="G203" s="972"/>
      <c r="H203" s="972"/>
      <c r="I203" s="973"/>
    </row>
    <row r="204" spans="1:9" ht="12.75" customHeight="1">
      <c r="A204" s="202"/>
      <c r="B204" s="965" t="s">
        <v>219</v>
      </c>
      <c r="C204" s="967"/>
      <c r="D204" s="205"/>
      <c r="E204" s="965" t="s">
        <v>219</v>
      </c>
      <c r="F204" s="966"/>
      <c r="G204" s="966"/>
      <c r="H204" s="966"/>
      <c r="I204" s="967"/>
    </row>
    <row r="205" spans="1:9" ht="12.75" customHeight="1">
      <c r="A205" s="202"/>
      <c r="B205" s="965" t="s">
        <v>220</v>
      </c>
      <c r="C205" s="967"/>
      <c r="D205" s="205"/>
      <c r="E205" s="965" t="s">
        <v>220</v>
      </c>
      <c r="F205" s="966"/>
      <c r="G205" s="966"/>
      <c r="H205" s="966"/>
      <c r="I205" s="967"/>
    </row>
    <row r="206" spans="1:9" ht="12.75" customHeight="1">
      <c r="A206" s="202"/>
      <c r="B206" s="965" t="s">
        <v>221</v>
      </c>
      <c r="C206" s="967"/>
      <c r="D206" s="205"/>
      <c r="E206" s="965" t="s">
        <v>221</v>
      </c>
      <c r="F206" s="966"/>
      <c r="G206" s="966"/>
      <c r="H206" s="966"/>
      <c r="I206" s="967"/>
    </row>
    <row r="207" spans="1:9" ht="12.75" customHeight="1">
      <c r="A207" s="202"/>
      <c r="B207" s="962" t="s">
        <v>222</v>
      </c>
      <c r="C207" s="964"/>
      <c r="D207" s="205"/>
      <c r="E207" s="962" t="s">
        <v>222</v>
      </c>
      <c r="F207" s="963"/>
      <c r="G207" s="963"/>
      <c r="H207" s="963"/>
      <c r="I207" s="964"/>
    </row>
    <row r="208" spans="1:9" ht="12.75" customHeight="1">
      <c r="A208" s="202"/>
      <c r="B208" s="962"/>
      <c r="C208" s="964"/>
      <c r="D208" s="205"/>
      <c r="E208" s="962"/>
      <c r="F208" s="963"/>
      <c r="G208" s="963"/>
      <c r="H208" s="963"/>
      <c r="I208" s="964"/>
    </row>
    <row r="209" spans="1:14" ht="12.75" customHeight="1">
      <c r="A209" s="202"/>
      <c r="B209" s="962"/>
      <c r="C209" s="964"/>
      <c r="D209" s="205"/>
      <c r="E209" s="962"/>
      <c r="F209" s="963"/>
      <c r="G209" s="963"/>
      <c r="H209" s="963"/>
      <c r="I209" s="964"/>
    </row>
    <row r="210" spans="1:14">
      <c r="A210" s="202"/>
      <c r="D210" s="205"/>
      <c r="E210" s="205"/>
    </row>
    <row r="211" spans="1:14">
      <c r="A211" s="202"/>
      <c r="D211" s="205"/>
      <c r="E211" s="205"/>
    </row>
    <row r="212" spans="1:14" ht="12.75" customHeight="1">
      <c r="A212" s="202"/>
      <c r="B212" s="999" t="s">
        <v>240</v>
      </c>
      <c r="C212" s="999"/>
      <c r="D212" s="999"/>
      <c r="E212" s="284"/>
      <c r="F212" s="216"/>
      <c r="G212" s="216"/>
      <c r="H212" s="216"/>
      <c r="I212" s="216"/>
      <c r="J212" s="216"/>
      <c r="K212" s="216"/>
      <c r="L212" s="216"/>
      <c r="M212" s="216"/>
      <c r="N212" s="216"/>
    </row>
    <row r="213" spans="1:14">
      <c r="A213" s="202"/>
      <c r="B213" s="205"/>
      <c r="C213" s="205"/>
      <c r="D213" s="205"/>
      <c r="E213" s="205"/>
    </row>
    <row r="214" spans="1:14" ht="25.2">
      <c r="A214" s="202"/>
      <c r="B214" s="207" t="s">
        <v>129</v>
      </c>
      <c r="C214" s="206" t="s">
        <v>208</v>
      </c>
      <c r="D214" s="205"/>
      <c r="E214" s="205"/>
    </row>
    <row r="215" spans="1:14" ht="25.2">
      <c r="A215" s="202"/>
      <c r="B215" s="208" t="s">
        <v>130</v>
      </c>
      <c r="C215" s="288" t="s">
        <v>209</v>
      </c>
      <c r="D215" s="205"/>
      <c r="E215" s="205"/>
    </row>
    <row r="216" spans="1:14">
      <c r="B216" s="303"/>
      <c r="C216" s="42"/>
      <c r="D216" s="42"/>
      <c r="E216" s="42"/>
      <c r="F216" s="42"/>
      <c r="G216" s="42"/>
      <c r="H216" s="42"/>
      <c r="I216" s="42"/>
      <c r="J216" s="42"/>
    </row>
    <row r="217" spans="1:14">
      <c r="B217" s="203"/>
      <c r="I217" s="67"/>
    </row>
    <row r="218" spans="1:14">
      <c r="B218" s="804" t="s">
        <v>412</v>
      </c>
      <c r="I218" s="67"/>
    </row>
    <row r="219" spans="1:14">
      <c r="B219" s="806" t="s">
        <v>290</v>
      </c>
    </row>
    <row r="220" spans="1:14">
      <c r="B220" s="807" t="s">
        <v>289</v>
      </c>
    </row>
    <row r="221" spans="1:14">
      <c r="B221" s="810" t="s">
        <v>287</v>
      </c>
    </row>
    <row r="222" spans="1:14">
      <c r="B222" s="808"/>
    </row>
    <row r="223" spans="1:14">
      <c r="B223" s="212"/>
    </row>
    <row r="224" spans="1:14">
      <c r="B224" s="805" t="s">
        <v>285</v>
      </c>
    </row>
    <row r="225" spans="2:2">
      <c r="B225" s="809" t="s">
        <v>413</v>
      </c>
    </row>
    <row r="226" spans="2:2">
      <c r="B226" s="807" t="s">
        <v>414</v>
      </c>
    </row>
    <row r="227" spans="2:2">
      <c r="B227" s="807" t="s">
        <v>296</v>
      </c>
    </row>
    <row r="228" spans="2:2">
      <c r="B228" s="807" t="s">
        <v>415</v>
      </c>
    </row>
    <row r="229" spans="2:2">
      <c r="B229" s="807" t="s">
        <v>416</v>
      </c>
    </row>
    <row r="230" spans="2:2">
      <c r="B230" s="807" t="s">
        <v>288</v>
      </c>
    </row>
    <row r="231" spans="2:2">
      <c r="B231" s="807" t="s">
        <v>417</v>
      </c>
    </row>
    <row r="232" spans="2:2">
      <c r="B232" s="807"/>
    </row>
    <row r="233" spans="2:2">
      <c r="B233" s="808"/>
    </row>
    <row r="234" spans="2:2">
      <c r="B234" s="212"/>
    </row>
    <row r="235" spans="2:2">
      <c r="B235" s="805" t="s">
        <v>295</v>
      </c>
    </row>
    <row r="236" spans="2:2">
      <c r="B236" s="809" t="s">
        <v>418</v>
      </c>
    </row>
    <row r="237" spans="2:2">
      <c r="B237" s="807" t="s">
        <v>419</v>
      </c>
    </row>
    <row r="238" spans="2:2">
      <c r="B238" s="807" t="s">
        <v>420</v>
      </c>
    </row>
    <row r="239" spans="2:2">
      <c r="B239" s="807" t="s">
        <v>421</v>
      </c>
    </row>
    <row r="240" spans="2:2">
      <c r="B240" s="807" t="s">
        <v>422</v>
      </c>
    </row>
    <row r="241" spans="2:2">
      <c r="B241" s="808"/>
    </row>
    <row r="242" spans="2:2">
      <c r="B242" s="212"/>
    </row>
    <row r="243" spans="2:2">
      <c r="B243" s="805" t="s">
        <v>423</v>
      </c>
    </row>
    <row r="244" spans="2:2">
      <c r="B244" s="809" t="s">
        <v>424</v>
      </c>
    </row>
    <row r="245" spans="2:2">
      <c r="B245" s="807" t="s">
        <v>425</v>
      </c>
    </row>
    <row r="246" spans="2:2">
      <c r="B246" s="808"/>
    </row>
    <row r="247" spans="2:2">
      <c r="B247" s="212"/>
    </row>
    <row r="248" spans="2:2">
      <c r="B248" s="805" t="s">
        <v>426</v>
      </c>
    </row>
    <row r="249" spans="2:2">
      <c r="B249" s="809" t="s">
        <v>467</v>
      </c>
    </row>
    <row r="250" spans="2:2">
      <c r="B250" s="807" t="s">
        <v>466</v>
      </c>
    </row>
    <row r="251" spans="2:2">
      <c r="B251" s="808" t="s">
        <v>270</v>
      </c>
    </row>
    <row r="252" spans="2:2">
      <c r="B252" s="212"/>
    </row>
    <row r="253" spans="2:2">
      <c r="B253" s="805" t="s">
        <v>286</v>
      </c>
    </row>
    <row r="254" spans="2:2">
      <c r="B254" s="809" t="s">
        <v>427</v>
      </c>
    </row>
    <row r="255" spans="2:2">
      <c r="B255" s="807" t="s">
        <v>471</v>
      </c>
    </row>
    <row r="256" spans="2:2">
      <c r="B256" s="807"/>
    </row>
    <row r="257" spans="2:2">
      <c r="B257" s="808"/>
    </row>
    <row r="258" spans="2:2">
      <c r="B258" s="212"/>
    </row>
    <row r="259" spans="2:2">
      <c r="B259" s="805" t="s">
        <v>291</v>
      </c>
    </row>
    <row r="260" spans="2:2">
      <c r="B260" s="809" t="s">
        <v>292</v>
      </c>
    </row>
    <row r="261" spans="2:2">
      <c r="B261" s="807" t="s">
        <v>297</v>
      </c>
    </row>
    <row r="262" spans="2:2">
      <c r="B262" s="807"/>
    </row>
    <row r="263" spans="2:2">
      <c r="B263" s="808"/>
    </row>
    <row r="264" spans="2:2">
      <c r="B264" s="212"/>
    </row>
    <row r="265" spans="2:2">
      <c r="B265" s="805" t="s">
        <v>428</v>
      </c>
    </row>
    <row r="266" spans="2:2">
      <c r="B266" s="809" t="s">
        <v>290</v>
      </c>
    </row>
    <row r="267" spans="2:2">
      <c r="B267" s="807" t="s">
        <v>289</v>
      </c>
    </row>
    <row r="268" spans="2:2">
      <c r="B268" s="808"/>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93" priority="21">
      <formula>AND(#REF!="Actuals",#REF!="Forecast")</formula>
    </cfRule>
  </conditionalFormatting>
  <conditionalFormatting sqref="C47">
    <cfRule type="expression" dxfId="92" priority="19">
      <formula>AND(#REF!="Actuals",#REF!="Forecast")</formula>
    </cfRule>
  </conditionalFormatting>
  <conditionalFormatting sqref="C50:J50">
    <cfRule type="expression" dxfId="91" priority="18">
      <formula>AND(#REF!="Actuals",#REF!="Forecast")</formula>
    </cfRule>
  </conditionalFormatting>
  <conditionalFormatting sqref="B14:D30">
    <cfRule type="cellIs" dxfId="90" priority="15" operator="equal">
      <formula>"Forecast"</formula>
    </cfRule>
  </conditionalFormatting>
  <conditionalFormatting sqref="B23:C30 E25:F27">
    <cfRule type="expression" dxfId="89" priority="112">
      <formula>$D13="Forecast"</formula>
    </cfRule>
  </conditionalFormatting>
  <conditionalFormatting sqref="K71">
    <cfRule type="expression" dxfId="88" priority="6">
      <formula>AND(#REF!="Actuals",#REF!="Forecast")</formula>
    </cfRule>
  </conditionalFormatting>
  <conditionalFormatting sqref="K72:T72">
    <cfRule type="expression" dxfId="87" priority="5">
      <formula>AND(#REF!="Actuals",#REF!="Forecast")</formula>
    </cfRule>
  </conditionalFormatting>
  <conditionalFormatting sqref="C62:L62">
    <cfRule type="expression" dxfId="86" priority="4">
      <formula>AND(#REF!="Actuals",#REF!="Forecast")</formula>
    </cfRule>
  </conditionalFormatting>
  <conditionalFormatting sqref="C118:L118">
    <cfRule type="expression" dxfId="85" priority="2">
      <formula>AND(#REF!="Actuals",#REF!="Forecast")</formula>
    </cfRule>
  </conditionalFormatting>
  <hyperlinks>
    <hyperlink ref="K39" r:id="rId1" display="August 2018 Publication"/>
    <hyperlink ref="K39:M39" r:id="rId2" display="May 2020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activeCell="C11" sqref="C11"/>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896" t="s">
        <v>83</v>
      </c>
      <c r="B1" s="896"/>
      <c r="C1" s="896"/>
      <c r="D1" s="896"/>
      <c r="E1" s="896"/>
      <c r="F1" s="896"/>
      <c r="G1" s="896"/>
      <c r="H1" s="896"/>
      <c r="I1" s="32" t="s">
        <v>84</v>
      </c>
      <c r="J1" s="33"/>
      <c r="K1" s="33"/>
      <c r="L1" s="33"/>
      <c r="M1" s="33"/>
    </row>
    <row r="2" spans="1:14" s="31" customFormat="1" ht="21">
      <c r="A2" s="896" t="str">
        <f>'RFPR cover'!C5</f>
        <v>WPD-SWALES</v>
      </c>
      <c r="B2" s="896"/>
      <c r="C2" s="896"/>
      <c r="D2" s="896"/>
      <c r="E2" s="896"/>
      <c r="F2" s="896"/>
      <c r="G2" s="896"/>
      <c r="H2" s="896"/>
      <c r="I2" s="33"/>
      <c r="J2" s="33"/>
      <c r="K2" s="33"/>
      <c r="L2" s="33"/>
      <c r="M2" s="33"/>
      <c r="N2" s="362"/>
    </row>
    <row r="3" spans="1:14" s="31" customFormat="1" ht="21">
      <c r="A3" s="896">
        <f>'RFPR cover'!C7</f>
        <v>2020</v>
      </c>
      <c r="B3" s="896"/>
      <c r="C3" s="896"/>
      <c r="D3" s="896"/>
      <c r="E3" s="896"/>
      <c r="F3" s="896"/>
      <c r="G3" s="896"/>
      <c r="H3" s="896"/>
      <c r="I3" s="33"/>
      <c r="J3" s="33"/>
      <c r="K3" s="33"/>
      <c r="L3" s="33"/>
      <c r="M3" s="33"/>
      <c r="N3" s="362"/>
    </row>
    <row r="4" spans="1:14">
      <c r="A4" s="24"/>
      <c r="B4" s="24"/>
      <c r="C4" s="24"/>
      <c r="D4" s="24"/>
      <c r="E4" s="24"/>
      <c r="F4" s="24"/>
      <c r="G4" s="24"/>
      <c r="H4" s="24"/>
      <c r="I4" s="544"/>
      <c r="J4" s="544"/>
      <c r="K4" s="544"/>
      <c r="L4" s="544"/>
      <c r="M4" s="544"/>
      <c r="N4" s="42"/>
    </row>
    <row r="5" spans="1:14">
      <c r="A5" s="24"/>
      <c r="B5" s="24"/>
      <c r="C5" s="24"/>
      <c r="D5" s="24"/>
      <c r="E5" s="24"/>
      <c r="F5" s="24"/>
      <c r="G5" s="24"/>
      <c r="H5" s="24"/>
      <c r="I5" s="544"/>
      <c r="J5" s="544"/>
      <c r="K5" s="544"/>
      <c r="L5" s="544"/>
      <c r="M5" s="544"/>
      <c r="N5" s="42"/>
    </row>
    <row r="6" spans="1:14">
      <c r="A6" s="24"/>
      <c r="B6" s="25" t="s">
        <v>85</v>
      </c>
      <c r="C6" s="24"/>
      <c r="D6" s="24"/>
      <c r="E6" s="24"/>
      <c r="F6" s="24"/>
      <c r="G6" s="24"/>
      <c r="H6" s="24"/>
      <c r="I6" s="544"/>
      <c r="J6" s="544"/>
      <c r="K6" s="544"/>
      <c r="L6" s="544"/>
      <c r="M6" s="544"/>
      <c r="N6" s="42"/>
    </row>
    <row r="7" spans="1:14">
      <c r="A7" s="24"/>
      <c r="B7" s="24"/>
      <c r="C7" s="24"/>
      <c r="D7" s="24"/>
      <c r="E7" s="24"/>
      <c r="F7" s="24"/>
      <c r="G7" s="24"/>
      <c r="H7" s="24"/>
      <c r="I7" s="544"/>
      <c r="J7" s="544"/>
      <c r="K7" s="544"/>
      <c r="L7" s="544"/>
      <c r="M7" s="544"/>
      <c r="N7" s="42"/>
    </row>
    <row r="8" spans="1:14">
      <c r="A8" s="24"/>
      <c r="B8" s="47" t="s">
        <v>86</v>
      </c>
      <c r="C8" s="47" t="s">
        <v>87</v>
      </c>
      <c r="D8" s="1003" t="s">
        <v>88</v>
      </c>
      <c r="E8" s="1004"/>
      <c r="F8" s="1004"/>
      <c r="G8" s="1004"/>
      <c r="H8" s="1004"/>
      <c r="I8" s="544"/>
      <c r="J8" s="544"/>
      <c r="K8" s="544"/>
      <c r="L8" s="544"/>
      <c r="M8" s="544"/>
      <c r="N8" s="42"/>
    </row>
    <row r="9" spans="1:14">
      <c r="A9" s="24"/>
      <c r="B9" s="26" t="s">
        <v>89</v>
      </c>
      <c r="C9" s="46">
        <v>44043</v>
      </c>
      <c r="D9" s="1001"/>
      <c r="E9" s="1002"/>
      <c r="F9" s="1002"/>
      <c r="G9" s="1002"/>
      <c r="H9" s="1002"/>
      <c r="I9" s="24"/>
      <c r="J9" s="24"/>
      <c r="K9" s="24"/>
      <c r="L9" s="24"/>
      <c r="M9" s="24"/>
    </row>
    <row r="10" spans="1:14" ht="25.2" customHeight="1">
      <c r="A10" s="24"/>
      <c r="B10" s="26" t="s">
        <v>90</v>
      </c>
      <c r="C10" s="960">
        <v>44117</v>
      </c>
      <c r="D10" s="1005" t="s">
        <v>653</v>
      </c>
      <c r="E10" s="1006"/>
      <c r="F10" s="1006"/>
      <c r="G10" s="1006"/>
      <c r="H10" s="1006"/>
      <c r="I10" s="24"/>
      <c r="J10" s="24"/>
      <c r="K10" s="24"/>
      <c r="L10" s="24"/>
      <c r="M10" s="24"/>
    </row>
    <row r="11" spans="1:14">
      <c r="A11" s="24"/>
      <c r="B11" s="26" t="s">
        <v>91</v>
      </c>
      <c r="C11" s="46"/>
      <c r="D11" s="1001"/>
      <c r="E11" s="1002"/>
      <c r="F11" s="1002"/>
      <c r="G11" s="1002"/>
      <c r="H11" s="1002"/>
      <c r="I11" s="24"/>
      <c r="J11" s="24"/>
      <c r="K11" s="24"/>
      <c r="L11" s="24"/>
      <c r="M11" s="24"/>
    </row>
    <row r="12" spans="1:14">
      <c r="A12" s="24"/>
      <c r="B12" s="26" t="s">
        <v>92</v>
      </c>
      <c r="C12" s="46"/>
      <c r="D12" s="1001"/>
      <c r="E12" s="1002"/>
      <c r="F12" s="1002"/>
      <c r="G12" s="1002"/>
      <c r="H12" s="1002"/>
      <c r="I12" s="24"/>
      <c r="J12" s="24"/>
      <c r="K12" s="24"/>
      <c r="L12" s="24"/>
      <c r="M12" s="24"/>
    </row>
    <row r="13" spans="1:14">
      <c r="A13" s="24"/>
      <c r="B13" s="26" t="s">
        <v>93</v>
      </c>
      <c r="C13" s="46"/>
      <c r="D13" s="1001"/>
      <c r="E13" s="1002"/>
      <c r="F13" s="1002"/>
      <c r="G13" s="1002"/>
      <c r="H13" s="1002"/>
      <c r="I13" s="24"/>
      <c r="J13" s="24"/>
      <c r="K13" s="24"/>
      <c r="L13" s="24"/>
      <c r="M13" s="24"/>
    </row>
    <row r="14" spans="1:14">
      <c r="A14" s="24"/>
      <c r="B14" s="26" t="s">
        <v>94</v>
      </c>
      <c r="C14" s="46"/>
      <c r="D14" s="1001"/>
      <c r="E14" s="1002"/>
      <c r="F14" s="1002"/>
      <c r="G14" s="1002"/>
      <c r="H14" s="1002"/>
      <c r="I14" s="24"/>
      <c r="J14" s="24"/>
      <c r="K14" s="24"/>
      <c r="L14" s="24"/>
      <c r="M14" s="24"/>
    </row>
    <row r="15" spans="1:14">
      <c r="A15" s="24"/>
      <c r="B15" s="26" t="s">
        <v>95</v>
      </c>
      <c r="C15" s="46"/>
      <c r="D15" s="1001"/>
      <c r="E15" s="1002"/>
      <c r="F15" s="1002"/>
      <c r="G15" s="1002"/>
      <c r="H15" s="1002"/>
      <c r="I15" s="24"/>
      <c r="J15" s="24"/>
      <c r="K15" s="24"/>
      <c r="L15" s="24"/>
      <c r="M15" s="24"/>
    </row>
    <row r="16" spans="1:14">
      <c r="A16" s="24"/>
      <c r="B16" s="26" t="s">
        <v>96</v>
      </c>
      <c r="C16" s="46"/>
      <c r="D16" s="1001"/>
      <c r="E16" s="1002"/>
      <c r="F16" s="1002"/>
      <c r="G16" s="1002"/>
      <c r="H16" s="1002"/>
      <c r="I16" s="24"/>
      <c r="J16" s="24"/>
      <c r="K16" s="24"/>
      <c r="L16" s="24"/>
      <c r="M16" s="24"/>
    </row>
    <row r="17" spans="1:13">
      <c r="A17" s="24"/>
      <c r="B17" s="26" t="s">
        <v>97</v>
      </c>
      <c r="C17" s="46"/>
      <c r="D17" s="1001"/>
      <c r="E17" s="1002"/>
      <c r="F17" s="1002"/>
      <c r="G17" s="1002"/>
      <c r="H17" s="1002"/>
      <c r="I17" s="24"/>
      <c r="J17" s="24"/>
      <c r="K17" s="24"/>
      <c r="L17" s="24"/>
      <c r="M17" s="24"/>
    </row>
    <row r="18" spans="1:13">
      <c r="A18" s="24"/>
      <c r="B18" s="26" t="s">
        <v>98</v>
      </c>
      <c r="C18" s="46"/>
      <c r="D18" s="1001"/>
      <c r="E18" s="1002"/>
      <c r="F18" s="1002"/>
      <c r="G18" s="1002"/>
      <c r="H18" s="1002"/>
      <c r="I18" s="24"/>
      <c r="J18" s="24"/>
      <c r="K18" s="24"/>
      <c r="L18" s="24"/>
      <c r="M18" s="24"/>
    </row>
    <row r="19" spans="1:13">
      <c r="A19" s="24"/>
      <c r="B19" s="24"/>
      <c r="C19" s="24"/>
      <c r="D19" s="24"/>
      <c r="E19" s="24"/>
      <c r="F19" s="24"/>
      <c r="G19" s="24"/>
      <c r="H19" s="24"/>
      <c r="I19" s="24"/>
      <c r="J19" s="24"/>
      <c r="K19" s="24"/>
      <c r="L19" s="24"/>
      <c r="M19" s="24"/>
    </row>
    <row r="20" spans="1:13">
      <c r="A20" s="24"/>
      <c r="B20" s="212"/>
      <c r="C20" s="24"/>
      <c r="D20" s="24"/>
      <c r="E20" s="24"/>
      <c r="F20" s="24"/>
      <c r="G20" s="24"/>
      <c r="H20" s="24"/>
      <c r="I20" s="24"/>
      <c r="J20" s="24"/>
      <c r="K20" s="24"/>
      <c r="L20" s="24"/>
    </row>
    <row r="21" spans="1:13">
      <c r="A21" s="24"/>
      <c r="B21" s="285" t="s">
        <v>263</v>
      </c>
      <c r="C21" s="24"/>
      <c r="D21" s="24"/>
      <c r="E21" s="24"/>
      <c r="F21" s="24"/>
      <c r="G21" s="24"/>
      <c r="H21" s="24"/>
      <c r="I21" s="24"/>
      <c r="J21" s="24"/>
      <c r="K21" s="24"/>
      <c r="L21" s="24"/>
    </row>
    <row r="22" spans="1:13">
      <c r="A22" s="24"/>
      <c r="B22" s="285" t="s">
        <v>119</v>
      </c>
      <c r="C22" s="24"/>
      <c r="D22" s="24"/>
      <c r="E22" s="24"/>
      <c r="F22" s="24"/>
      <c r="G22" s="24"/>
      <c r="H22" s="24"/>
      <c r="I22" s="24"/>
      <c r="J22" s="24"/>
      <c r="K22" s="24"/>
      <c r="L22" s="24"/>
    </row>
    <row r="23" spans="1:13">
      <c r="A23" s="24"/>
      <c r="B23" s="285" t="s">
        <v>264</v>
      </c>
      <c r="C23" s="24"/>
      <c r="D23" s="24"/>
      <c r="E23" s="24"/>
      <c r="F23" s="24"/>
      <c r="G23" s="24"/>
      <c r="H23" s="24"/>
      <c r="I23" s="24"/>
      <c r="J23" s="24"/>
      <c r="K23" s="24"/>
      <c r="L23" s="24"/>
    </row>
    <row r="24" spans="1:13">
      <c r="B24" s="285" t="s">
        <v>99</v>
      </c>
    </row>
    <row r="25" spans="1:13">
      <c r="B25" s="285" t="s">
        <v>262</v>
      </c>
    </row>
    <row r="26" spans="1:13">
      <c r="B26" s="285" t="s">
        <v>100</v>
      </c>
    </row>
    <row r="27" spans="1:13">
      <c r="B27" s="285" t="s">
        <v>265</v>
      </c>
    </row>
    <row r="28" spans="1:13">
      <c r="B28" s="285" t="s">
        <v>281</v>
      </c>
      <c r="C28" t="s">
        <v>663</v>
      </c>
    </row>
    <row r="29" spans="1:13">
      <c r="B29" s="285" t="s">
        <v>237</v>
      </c>
    </row>
    <row r="30" spans="1:13">
      <c r="B30" s="285" t="s">
        <v>284</v>
      </c>
      <c r="C30" t="s">
        <v>663</v>
      </c>
    </row>
    <row r="31" spans="1:13">
      <c r="B31" s="285" t="s">
        <v>101</v>
      </c>
    </row>
    <row r="32" spans="1:13">
      <c r="B32" s="285" t="s">
        <v>261</v>
      </c>
    </row>
    <row r="33" spans="2:2">
      <c r="B33" s="285" t="s">
        <v>266</v>
      </c>
    </row>
    <row r="34" spans="2:2">
      <c r="B34" s="285" t="s">
        <v>259</v>
      </c>
    </row>
    <row r="35" spans="2:2">
      <c r="B35" s="285"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70" zoomScaleNormal="70" workbookViewId="0">
      <pane ySplit="5" topLeftCell="A39" activePane="bottomLeft" state="frozen"/>
      <selection activeCell="B75" sqref="A1:XFD1048576"/>
      <selection pane="bottomLeft" activeCell="A47" sqref="A47"/>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WPD-SWALES</v>
      </c>
      <c r="B2" s="29"/>
      <c r="C2" s="29"/>
      <c r="D2" s="29"/>
    </row>
    <row r="3" spans="1:4" s="31" customFormat="1" ht="21">
      <c r="A3" s="29">
        <f>'RFPR cover'!C7</f>
        <v>2020</v>
      </c>
      <c r="B3" s="29"/>
      <c r="C3" s="29"/>
      <c r="D3" s="29"/>
    </row>
    <row r="4" spans="1:4" s="31" customFormat="1" ht="21">
      <c r="A4" s="837"/>
      <c r="B4" s="837"/>
      <c r="C4" s="837"/>
      <c r="D4" s="837"/>
    </row>
    <row r="5" spans="1:4" ht="27.6">
      <c r="A5" s="834" t="s">
        <v>450</v>
      </c>
      <c r="B5" s="835" t="s">
        <v>451</v>
      </c>
      <c r="C5" s="836" t="s">
        <v>452</v>
      </c>
    </row>
    <row r="6" spans="1:4">
      <c r="A6" s="333">
        <v>1.1000000000000001</v>
      </c>
      <c r="B6" s="843" t="s">
        <v>534</v>
      </c>
      <c r="C6" s="850" t="s">
        <v>535</v>
      </c>
    </row>
    <row r="7" spans="1:4">
      <c r="A7" s="333">
        <v>1.1000000000000001</v>
      </c>
      <c r="B7" s="843" t="s">
        <v>534</v>
      </c>
      <c r="C7" s="850" t="s">
        <v>536</v>
      </c>
    </row>
    <row r="8" spans="1:4">
      <c r="A8" s="333">
        <v>1.1000000000000001</v>
      </c>
      <c r="B8" s="842" t="s">
        <v>537</v>
      </c>
      <c r="C8" s="849" t="s">
        <v>538</v>
      </c>
    </row>
    <row r="9" spans="1:4" ht="25.2">
      <c r="A9" s="333">
        <v>1.1000000000000001</v>
      </c>
      <c r="B9" s="842" t="s">
        <v>540</v>
      </c>
      <c r="C9" s="849" t="s">
        <v>541</v>
      </c>
    </row>
    <row r="10" spans="1:4">
      <c r="A10" s="333">
        <v>1.1000000000000001</v>
      </c>
      <c r="B10" s="842" t="s">
        <v>540</v>
      </c>
      <c r="C10" s="849" t="s">
        <v>543</v>
      </c>
    </row>
    <row r="11" spans="1:4">
      <c r="A11" s="333">
        <v>1.1000000000000001</v>
      </c>
      <c r="B11" s="842" t="s">
        <v>545</v>
      </c>
      <c r="C11" s="849" t="s">
        <v>544</v>
      </c>
    </row>
    <row r="12" spans="1:4" ht="25.2">
      <c r="A12" s="333">
        <v>1.1000000000000001</v>
      </c>
      <c r="B12" s="842" t="s">
        <v>540</v>
      </c>
      <c r="C12" s="849" t="s">
        <v>546</v>
      </c>
    </row>
    <row r="13" spans="1:4" ht="50.4">
      <c r="A13" s="333">
        <v>1.1000000000000001</v>
      </c>
      <c r="B13" s="842" t="s">
        <v>540</v>
      </c>
      <c r="C13" s="849" t="s">
        <v>547</v>
      </c>
    </row>
    <row r="14" spans="1:4">
      <c r="A14" s="334">
        <v>1.1000000000000001</v>
      </c>
      <c r="B14" s="842" t="s">
        <v>548</v>
      </c>
      <c r="C14" s="849" t="s">
        <v>549</v>
      </c>
    </row>
    <row r="15" spans="1:4">
      <c r="A15" s="334">
        <v>1.1000000000000001</v>
      </c>
      <c r="B15" s="842" t="s">
        <v>537</v>
      </c>
      <c r="C15" s="849" t="s">
        <v>550</v>
      </c>
    </row>
    <row r="16" spans="1:4" ht="37.799999999999997">
      <c r="A16" s="334">
        <v>1.1000000000000001</v>
      </c>
      <c r="B16" s="842" t="s">
        <v>551</v>
      </c>
      <c r="C16" s="849" t="s">
        <v>552</v>
      </c>
    </row>
    <row r="17" spans="1:3">
      <c r="A17" s="334">
        <v>1.1000000000000001</v>
      </c>
      <c r="B17" s="842" t="s">
        <v>545</v>
      </c>
      <c r="C17" s="286" t="s">
        <v>553</v>
      </c>
    </row>
    <row r="18" spans="1:3">
      <c r="A18" s="334">
        <v>1.1000000000000001</v>
      </c>
      <c r="B18" s="842" t="s">
        <v>545</v>
      </c>
      <c r="C18" s="286" t="s">
        <v>554</v>
      </c>
    </row>
    <row r="19" spans="1:3">
      <c r="A19" s="334">
        <v>1.1000000000000001</v>
      </c>
      <c r="B19" s="842" t="s">
        <v>555</v>
      </c>
      <c r="C19" s="286" t="s">
        <v>556</v>
      </c>
    </row>
    <row r="20" spans="1:3" ht="25.2">
      <c r="A20" s="334">
        <v>1.1000000000000001</v>
      </c>
      <c r="B20" s="842" t="s">
        <v>555</v>
      </c>
      <c r="C20" s="286" t="s">
        <v>567</v>
      </c>
    </row>
    <row r="21" spans="1:3">
      <c r="A21" s="334">
        <v>1.1000000000000001</v>
      </c>
      <c r="B21" s="842" t="s">
        <v>568</v>
      </c>
      <c r="C21" s="286" t="s">
        <v>569</v>
      </c>
    </row>
    <row r="22" spans="1:3">
      <c r="A22" s="334">
        <v>1.1000000000000001</v>
      </c>
      <c r="B22" s="334" t="s">
        <v>548</v>
      </c>
      <c r="C22" s="286" t="s">
        <v>570</v>
      </c>
    </row>
    <row r="23" spans="1:3" ht="25.2">
      <c r="A23" s="334">
        <v>1.1000000000000001</v>
      </c>
      <c r="B23" s="842" t="s">
        <v>548</v>
      </c>
      <c r="C23" s="286" t="s">
        <v>571</v>
      </c>
    </row>
    <row r="24" spans="1:3" ht="25.2">
      <c r="A24" s="334">
        <v>1.1000000000000001</v>
      </c>
      <c r="B24" s="842" t="s">
        <v>551</v>
      </c>
      <c r="C24" s="286" t="s">
        <v>572</v>
      </c>
    </row>
    <row r="25" spans="1:3" ht="25.8" thickBot="1">
      <c r="A25" s="934">
        <v>1.1000000000000001</v>
      </c>
      <c r="B25" s="935" t="s">
        <v>555</v>
      </c>
      <c r="C25" s="936" t="s">
        <v>574</v>
      </c>
    </row>
    <row r="26" spans="1:3">
      <c r="A26" s="931">
        <v>1.1000000000000001</v>
      </c>
      <c r="B26" s="932" t="s">
        <v>548</v>
      </c>
      <c r="C26" s="933" t="s">
        <v>575</v>
      </c>
    </row>
    <row r="27" spans="1:3">
      <c r="A27" s="931">
        <v>1.1000000000000001</v>
      </c>
      <c r="B27" s="842" t="s">
        <v>555</v>
      </c>
      <c r="C27" s="286" t="s">
        <v>576</v>
      </c>
    </row>
    <row r="28" spans="1:3">
      <c r="A28" s="334">
        <v>1.1000000000000001</v>
      </c>
      <c r="B28" s="842" t="s">
        <v>545</v>
      </c>
      <c r="C28" s="286" t="s">
        <v>577</v>
      </c>
    </row>
    <row r="29" spans="1:3" ht="75.599999999999994">
      <c r="A29" s="938" t="s">
        <v>617</v>
      </c>
      <c r="B29" s="842" t="s">
        <v>555</v>
      </c>
      <c r="C29" s="849" t="s">
        <v>632</v>
      </c>
    </row>
    <row r="30" spans="1:3" ht="25.2">
      <c r="A30" s="938" t="s">
        <v>617</v>
      </c>
      <c r="B30" s="842" t="s">
        <v>606</v>
      </c>
      <c r="C30" s="286" t="s">
        <v>619</v>
      </c>
    </row>
    <row r="31" spans="1:3" ht="50.4">
      <c r="A31" s="938" t="s">
        <v>617</v>
      </c>
      <c r="B31" s="842" t="s">
        <v>606</v>
      </c>
      <c r="C31" s="849" t="s">
        <v>636</v>
      </c>
    </row>
    <row r="32" spans="1:3">
      <c r="A32" s="938" t="s">
        <v>617</v>
      </c>
      <c r="B32" s="842" t="s">
        <v>606</v>
      </c>
      <c r="C32" s="872" t="s">
        <v>637</v>
      </c>
    </row>
    <row r="33" spans="1:3" ht="25.2">
      <c r="A33" s="334" t="s">
        <v>617</v>
      </c>
      <c r="B33" s="842" t="s">
        <v>638</v>
      </c>
      <c r="C33" s="286" t="s">
        <v>639</v>
      </c>
    </row>
    <row r="34" spans="1:3">
      <c r="A34" s="938" t="s">
        <v>617</v>
      </c>
      <c r="B34" s="865" t="s">
        <v>638</v>
      </c>
      <c r="C34" s="286" t="s">
        <v>640</v>
      </c>
    </row>
    <row r="35" spans="1:3" ht="37.799999999999997">
      <c r="A35" s="938" t="s">
        <v>617</v>
      </c>
      <c r="B35" s="865" t="s">
        <v>638</v>
      </c>
      <c r="C35" s="286" t="s">
        <v>641</v>
      </c>
    </row>
    <row r="36" spans="1:3" ht="25.2">
      <c r="A36" s="334" t="s">
        <v>617</v>
      </c>
      <c r="B36" s="842" t="s">
        <v>540</v>
      </c>
      <c r="C36" s="286" t="s">
        <v>642</v>
      </c>
    </row>
    <row r="37" spans="1:3" ht="63">
      <c r="A37" s="938" t="s">
        <v>617</v>
      </c>
      <c r="B37" s="842" t="s">
        <v>540</v>
      </c>
      <c r="C37" s="849" t="s">
        <v>633</v>
      </c>
    </row>
    <row r="38" spans="1:3" ht="25.2">
      <c r="A38" s="938" t="s">
        <v>617</v>
      </c>
      <c r="B38" s="865" t="s">
        <v>534</v>
      </c>
      <c r="C38" s="286" t="s">
        <v>643</v>
      </c>
    </row>
    <row r="39" spans="1:3">
      <c r="A39" s="334" t="s">
        <v>617</v>
      </c>
      <c r="B39" s="865" t="s">
        <v>551</v>
      </c>
      <c r="C39" s="286" t="s">
        <v>644</v>
      </c>
    </row>
    <row r="40" spans="1:3" ht="25.2">
      <c r="A40" s="938" t="s">
        <v>617</v>
      </c>
      <c r="B40" s="865" t="s">
        <v>551</v>
      </c>
      <c r="C40" s="286" t="s">
        <v>645</v>
      </c>
    </row>
    <row r="41" spans="1:3" ht="25.2">
      <c r="A41" s="938" t="s">
        <v>617</v>
      </c>
      <c r="B41" s="865" t="s">
        <v>548</v>
      </c>
      <c r="C41" s="286" t="s">
        <v>646</v>
      </c>
    </row>
    <row r="42" spans="1:3">
      <c r="A42" s="334" t="s">
        <v>617</v>
      </c>
      <c r="B42" s="865" t="s">
        <v>647</v>
      </c>
      <c r="C42" s="286" t="s">
        <v>648</v>
      </c>
    </row>
    <row r="43" spans="1:3" ht="25.2">
      <c r="A43" s="938" t="s">
        <v>617</v>
      </c>
      <c r="B43" s="842" t="s">
        <v>647</v>
      </c>
      <c r="C43" s="286" t="s">
        <v>649</v>
      </c>
    </row>
    <row r="44" spans="1:3" ht="37.799999999999997">
      <c r="A44" s="938" t="s">
        <v>617</v>
      </c>
      <c r="B44" s="842" t="s">
        <v>650</v>
      </c>
      <c r="C44" s="286" t="s">
        <v>651</v>
      </c>
    </row>
    <row r="45" spans="1:3" ht="37.799999999999997">
      <c r="A45" s="334" t="s">
        <v>617</v>
      </c>
      <c r="B45" s="842" t="s">
        <v>616</v>
      </c>
      <c r="C45" s="286" t="s">
        <v>618</v>
      </c>
    </row>
    <row r="46" spans="1:3" ht="25.2">
      <c r="A46" s="938" t="s">
        <v>665</v>
      </c>
      <c r="B46" s="842"/>
      <c r="C46" s="286"/>
    </row>
    <row r="47" spans="1:3">
      <c r="A47" s="335"/>
      <c r="B47" s="961" t="s">
        <v>655</v>
      </c>
      <c r="C47" s="946" t="s">
        <v>656</v>
      </c>
    </row>
    <row r="48" spans="1:3" ht="37.799999999999997">
      <c r="A48" s="335"/>
      <c r="B48" s="961" t="s">
        <v>657</v>
      </c>
      <c r="C48" s="946" t="s">
        <v>658</v>
      </c>
    </row>
    <row r="49" spans="1:3" ht="50.4">
      <c r="A49" s="335"/>
      <c r="B49" s="961" t="s">
        <v>606</v>
      </c>
      <c r="C49" s="946" t="s">
        <v>659</v>
      </c>
    </row>
    <row r="50" spans="1:3" ht="37.799999999999997">
      <c r="A50" s="335"/>
      <c r="B50" s="961" t="s">
        <v>638</v>
      </c>
      <c r="C50" s="946" t="s">
        <v>660</v>
      </c>
    </row>
    <row r="51" spans="1:3" ht="39" customHeight="1">
      <c r="A51" s="335"/>
      <c r="B51" s="961" t="s">
        <v>551</v>
      </c>
      <c r="C51" s="946" t="s">
        <v>661</v>
      </c>
    </row>
    <row r="52" spans="1:3" ht="50.4">
      <c r="A52" s="335"/>
      <c r="B52" s="961" t="s">
        <v>647</v>
      </c>
      <c r="C52" s="946" t="s">
        <v>662</v>
      </c>
    </row>
    <row r="53" spans="1:3" ht="41.4" customHeight="1">
      <c r="A53" s="335"/>
      <c r="B53" s="961" t="s">
        <v>537</v>
      </c>
      <c r="C53" s="946" t="s">
        <v>654</v>
      </c>
    </row>
    <row r="54" spans="1:3">
      <c r="A54" s="335"/>
      <c r="B54" s="842"/>
      <c r="C54" s="286"/>
    </row>
    <row r="55" spans="1:3">
      <c r="A55" s="335"/>
      <c r="B55" s="842"/>
      <c r="C55" s="286"/>
    </row>
    <row r="56" spans="1:3">
      <c r="A56" s="335"/>
      <c r="B56" s="842"/>
      <c r="C56" s="286"/>
    </row>
    <row r="57" spans="1:3">
      <c r="A57" s="335"/>
      <c r="B57" s="842"/>
      <c r="C57" s="286"/>
    </row>
    <row r="58" spans="1:3">
      <c r="A58" s="335"/>
      <c r="B58" s="842"/>
      <c r="C58" s="286"/>
    </row>
    <row r="59" spans="1:3">
      <c r="A59" s="335"/>
      <c r="B59" s="842"/>
      <c r="C59" s="286"/>
    </row>
    <row r="60" spans="1:3">
      <c r="A60" s="335"/>
      <c r="B60" s="842"/>
      <c r="C60" s="286"/>
    </row>
    <row r="61" spans="1:3">
      <c r="A61" s="335"/>
      <c r="B61" s="842"/>
      <c r="C61" s="286"/>
    </row>
    <row r="62" spans="1:3">
      <c r="A62" s="335"/>
      <c r="B62" s="842"/>
      <c r="C62" s="286"/>
    </row>
    <row r="63" spans="1:3">
      <c r="A63" s="335"/>
      <c r="B63" s="842"/>
      <c r="C63" s="286"/>
    </row>
    <row r="64" spans="1:3">
      <c r="A64" s="335"/>
      <c r="B64" s="842"/>
      <c r="C64" s="286"/>
    </row>
    <row r="65" spans="1:3">
      <c r="A65" s="335"/>
      <c r="B65" s="842"/>
      <c r="C65" s="286"/>
    </row>
    <row r="66" spans="1:3">
      <c r="A66" s="335"/>
      <c r="B66" s="842"/>
      <c r="C66" s="286"/>
    </row>
  </sheetData>
  <pageMargins left="0.70866141732283472" right="0.70866141732283472" top="0.74803149606299213" bottom="0.74803149606299213" header="0.31496062992125984" footer="0.31496062992125984"/>
  <pageSetup paperSize="8" scale="74" orientation="landscape" r:id="rId1"/>
  <ignoredErrors>
    <ignoredError sqref="A29:A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M66"/>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63.36328125" style="195" customWidth="1"/>
    <col min="3" max="3" width="13.36328125" style="42" customWidth="1"/>
    <col min="4" max="11" width="9.08984375" customWidth="1"/>
    <col min="12" max="12" width="3.453125" customWidth="1"/>
    <col min="13" max="14" width="13.7265625" customWidth="1"/>
    <col min="15" max="15" width="5.08984375" customWidth="1"/>
  </cols>
  <sheetData>
    <row r="1" spans="1:27" s="31" customFormat="1" ht="21">
      <c r="A1" s="901" t="s">
        <v>239</v>
      </c>
      <c r="B1" s="910"/>
      <c r="C1" s="911"/>
      <c r="D1" s="911"/>
      <c r="E1" s="911"/>
      <c r="F1" s="911"/>
      <c r="G1" s="255"/>
      <c r="H1" s="255"/>
      <c r="I1" s="256"/>
      <c r="J1" s="256"/>
      <c r="K1" s="257"/>
      <c r="L1" s="257"/>
      <c r="M1" s="257"/>
      <c r="N1" s="257"/>
      <c r="O1" s="363" t="s">
        <v>84</v>
      </c>
    </row>
    <row r="2" spans="1:27" s="31" customFormat="1" ht="21">
      <c r="A2" s="904" t="str">
        <f>'RFPR cover'!C5</f>
        <v>WPD-SWALES</v>
      </c>
      <c r="B2" s="912"/>
      <c r="C2" s="896"/>
      <c r="D2" s="896"/>
      <c r="E2" s="896"/>
      <c r="F2" s="896"/>
      <c r="G2" s="29"/>
      <c r="H2" s="29"/>
      <c r="I2" s="27"/>
      <c r="J2" s="27"/>
      <c r="K2" s="27"/>
      <c r="L2" s="27"/>
      <c r="M2" s="27"/>
      <c r="N2" s="27"/>
      <c r="O2" s="122"/>
    </row>
    <row r="3" spans="1:27" s="31" customFormat="1" ht="22.8">
      <c r="A3" s="907">
        <f>'RFPR cover'!C7</f>
        <v>2020</v>
      </c>
      <c r="B3" s="913" t="str">
        <f>IF('RFPR cover'!C5=Data!B98,"Not required to be completed for System Operator",(IF('RFPR cover'!C5=Data!B96,"Not required to be completed for System Operator","")))</f>
        <v/>
      </c>
      <c r="C3" s="914"/>
      <c r="D3" s="914"/>
      <c r="E3" s="914"/>
      <c r="F3" s="914"/>
      <c r="G3" s="259"/>
      <c r="H3" s="259"/>
      <c r="I3" s="254"/>
      <c r="J3" s="254"/>
      <c r="K3" s="254"/>
      <c r="L3" s="254"/>
      <c r="M3" s="254"/>
      <c r="N3" s="254"/>
      <c r="O3" s="260"/>
    </row>
    <row r="4" spans="1:27" ht="12.75" customHeight="1"/>
    <row r="5" spans="1:27">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c r="L5" s="2"/>
      <c r="M5" s="2"/>
    </row>
    <row r="6" spans="1:27" ht="31.5" customHeight="1">
      <c r="C6" s="171"/>
      <c r="D6" s="116">
        <f>'RFPR cover'!$C$13</f>
        <v>2016</v>
      </c>
      <c r="E6" s="117">
        <f>D6+1</f>
        <v>2017</v>
      </c>
      <c r="F6" s="117">
        <f t="shared" ref="F6:K6" si="0">E6+1</f>
        <v>2018</v>
      </c>
      <c r="G6" s="117">
        <f t="shared" si="0"/>
        <v>2019</v>
      </c>
      <c r="H6" s="117">
        <f t="shared" si="0"/>
        <v>2020</v>
      </c>
      <c r="I6" s="117">
        <f t="shared" si="0"/>
        <v>2021</v>
      </c>
      <c r="J6" s="117">
        <f t="shared" si="0"/>
        <v>2022</v>
      </c>
      <c r="K6" s="194">
        <f t="shared" si="0"/>
        <v>2023</v>
      </c>
      <c r="L6" s="49"/>
      <c r="M6" s="100" t="str">
        <f>"Cumulative to "&amp;'RFPR cover'!$C$7</f>
        <v>Cumulative to 2020</v>
      </c>
      <c r="N6" s="193" t="s">
        <v>109</v>
      </c>
    </row>
    <row r="7" spans="1:27">
      <c r="C7" s="171"/>
      <c r="D7" s="171"/>
      <c r="E7" s="171"/>
      <c r="F7" s="171"/>
      <c r="G7" s="171"/>
      <c r="H7" s="171"/>
      <c r="I7" s="171"/>
      <c r="J7" s="171"/>
      <c r="K7" s="171"/>
      <c r="L7" s="171"/>
      <c r="M7" s="171"/>
      <c r="N7" s="171"/>
      <c r="O7" s="171"/>
    </row>
    <row r="8" spans="1:27">
      <c r="B8" s="527" t="s">
        <v>108</v>
      </c>
      <c r="C8" s="420"/>
      <c r="D8" s="420"/>
      <c r="E8" s="420"/>
      <c r="F8" s="420"/>
      <c r="G8" s="420"/>
      <c r="H8" s="420"/>
      <c r="I8" s="420"/>
      <c r="J8" s="420"/>
      <c r="K8" s="420"/>
      <c r="L8" s="528"/>
      <c r="M8" s="216"/>
      <c r="N8" s="216"/>
      <c r="O8" s="216"/>
    </row>
    <row r="9" spans="1:27">
      <c r="B9" s="196"/>
      <c r="D9" s="42"/>
      <c r="E9" s="42"/>
      <c r="F9" s="42"/>
      <c r="G9" s="42"/>
      <c r="H9" s="42"/>
      <c r="I9" s="42"/>
      <c r="J9" s="42"/>
      <c r="K9" s="42"/>
      <c r="L9" s="49"/>
    </row>
    <row r="10" spans="1:27">
      <c r="B10" s="251" t="s">
        <v>215</v>
      </c>
      <c r="C10" s="253" t="s">
        <v>7</v>
      </c>
      <c r="D10" s="504">
        <f t="shared" ref="D10:K19" si="1">D48/D$65</f>
        <v>6.4000000000000001E-2</v>
      </c>
      <c r="E10" s="506">
        <f t="shared" si="1"/>
        <v>6.4000000000000001E-2</v>
      </c>
      <c r="F10" s="506">
        <f t="shared" si="1"/>
        <v>6.4000000000000001E-2</v>
      </c>
      <c r="G10" s="506">
        <f t="shared" si="1"/>
        <v>6.4000000000000001E-2</v>
      </c>
      <c r="H10" s="506">
        <f t="shared" si="1"/>
        <v>6.4000000000000001E-2</v>
      </c>
      <c r="I10" s="506">
        <f t="shared" si="1"/>
        <v>6.4000000000000001E-2</v>
      </c>
      <c r="J10" s="506">
        <f t="shared" si="1"/>
        <v>6.4000000000000001E-2</v>
      </c>
      <c r="K10" s="505">
        <f t="shared" si="1"/>
        <v>6.4000000000000001E-2</v>
      </c>
      <c r="L10" s="172"/>
      <c r="M10" s="505">
        <f>AVERAGE(D48:INDEX(D48:K48,0,MATCH('RFPR cover'!$C$7,$D$6:$K$6,0)))/AVERAGE($D$65:INDEX($D$65:$K$65,0,MATCH('RFPR cover'!$C$7,$D$6:$K$6,0)))</f>
        <v>6.4000000000000015E-2</v>
      </c>
      <c r="N10" s="505">
        <f>AVERAGE(D48:K48)/AVERAGE($D$65:$K$65)</f>
        <v>6.4000000000000001E-2</v>
      </c>
      <c r="Q10" s="515"/>
      <c r="R10" s="515"/>
      <c r="S10" s="515"/>
      <c r="T10" s="515"/>
      <c r="U10" s="515"/>
      <c r="V10" s="515"/>
      <c r="W10" s="515"/>
      <c r="X10" s="515"/>
      <c r="Y10" s="515"/>
      <c r="Z10" s="515"/>
      <c r="AA10" s="515"/>
    </row>
    <row r="11" spans="1:27">
      <c r="B11" s="251" t="str">
        <f t="shared" ref="B11:B18" si="2">B49</f>
        <v>Totex outperformance</v>
      </c>
      <c r="C11" s="253" t="s">
        <v>7</v>
      </c>
      <c r="D11" s="174">
        <f t="shared" si="1"/>
        <v>3.0981267920505311E-2</v>
      </c>
      <c r="E11" s="175">
        <f t="shared" si="1"/>
        <v>4.2280345175019184E-2</v>
      </c>
      <c r="F11" s="175">
        <f t="shared" si="1"/>
        <v>-5.1971077836323903E-2</v>
      </c>
      <c r="G11" s="175">
        <f t="shared" si="1"/>
        <v>3.4053399776362042E-2</v>
      </c>
      <c r="H11" s="175">
        <f t="shared" si="1"/>
        <v>3.3134960968473008E-2</v>
      </c>
      <c r="I11" s="175">
        <f t="shared" si="1"/>
        <v>1.1579601217613381E-2</v>
      </c>
      <c r="J11" s="175">
        <f t="shared" si="1"/>
        <v>-1.5911762323098138E-2</v>
      </c>
      <c r="K11" s="176">
        <f t="shared" si="1"/>
        <v>-9.5317360097184247E-3</v>
      </c>
      <c r="L11" s="172"/>
      <c r="M11" s="176">
        <f>AVERAGE(D49:INDEX(D49:K49,0,MATCH('RFPR cover'!$C$7,$D$6:$K$6,0)))/AVERAGE($D$65:INDEX($D$65:$K$65,0,MATCH('RFPR cover'!$C$7,$D$6:$K$6,0)))</f>
        <v>1.7697125993828541E-2</v>
      </c>
      <c r="N11" s="176">
        <f t="shared" ref="N11:N19" si="3">AVERAGE(D49:K49)/AVERAGE($D$65:$K$65)</f>
        <v>8.5664196182621295E-3</v>
      </c>
      <c r="P11" s="172"/>
      <c r="Q11" s="515"/>
      <c r="R11" s="515"/>
      <c r="S11" s="515"/>
      <c r="T11" s="515"/>
      <c r="U11" s="515"/>
      <c r="V11" s="515"/>
      <c r="W11" s="515"/>
      <c r="X11" s="515"/>
      <c r="Y11" s="515"/>
      <c r="Z11" s="515"/>
      <c r="AA11" s="515"/>
    </row>
    <row r="12" spans="1:27">
      <c r="B12" s="251" t="str">
        <f t="shared" si="2"/>
        <v>IQI Reward</v>
      </c>
      <c r="C12" s="253" t="s">
        <v>7</v>
      </c>
      <c r="D12" s="174">
        <f t="shared" si="1"/>
        <v>1.0012146124677079E-2</v>
      </c>
      <c r="E12" s="175">
        <f t="shared" si="1"/>
        <v>9.6659427455641038E-3</v>
      </c>
      <c r="F12" s="175">
        <f t="shared" si="1"/>
        <v>9.106668565699038E-3</v>
      </c>
      <c r="G12" s="175">
        <f t="shared" si="1"/>
        <v>9.4603837513823792E-3</v>
      </c>
      <c r="H12" s="175">
        <f t="shared" si="1"/>
        <v>8.3789963079520906E-3</v>
      </c>
      <c r="I12" s="175">
        <f t="shared" si="1"/>
        <v>8.125180869337733E-3</v>
      </c>
      <c r="J12" s="175">
        <f t="shared" si="1"/>
        <v>7.58584568460835E-3</v>
      </c>
      <c r="K12" s="176">
        <f t="shared" si="1"/>
        <v>7.4553529213575347E-3</v>
      </c>
      <c r="L12" s="172"/>
      <c r="M12" s="176">
        <f>AVERAGE(D50:INDEX(D50:K50,0,MATCH('RFPR cover'!$C$7,$D$6:$K$6,0)))/AVERAGE($D$65:INDEX($D$65:$K$65,0,MATCH('RFPR cover'!$C$7,$D$6:$K$6,0)))</f>
        <v>9.3049153210358927E-3</v>
      </c>
      <c r="N12" s="176">
        <f t="shared" si="3"/>
        <v>8.6611808673561549E-3</v>
      </c>
      <c r="Q12" s="515"/>
      <c r="R12" s="515"/>
      <c r="S12" s="515"/>
      <c r="T12" s="515"/>
      <c r="U12" s="515"/>
      <c r="V12" s="515"/>
      <c r="W12" s="515"/>
      <c r="X12" s="515"/>
      <c r="Y12" s="515"/>
      <c r="Z12" s="515"/>
      <c r="AA12" s="515"/>
    </row>
    <row r="13" spans="1:27">
      <c r="B13" s="251" t="str">
        <f t="shared" si="2"/>
        <v>Broad measure of customer service</v>
      </c>
      <c r="C13" s="253" t="s">
        <v>7</v>
      </c>
      <c r="D13" s="174">
        <f t="shared" si="1"/>
        <v>7.147343068779094E-3</v>
      </c>
      <c r="E13" s="175">
        <f t="shared" si="1"/>
        <v>6.5453106758027761E-3</v>
      </c>
      <c r="F13" s="175">
        <f t="shared" si="1"/>
        <v>7.168550267637493E-3</v>
      </c>
      <c r="G13" s="175">
        <f t="shared" si="1"/>
        <v>6.8145912687311893E-3</v>
      </c>
      <c r="H13" s="175">
        <f t="shared" si="1"/>
        <v>6.6731423453157699E-3</v>
      </c>
      <c r="I13" s="175">
        <f t="shared" si="1"/>
        <v>6.4557696656631011E-3</v>
      </c>
      <c r="J13" s="175">
        <f t="shared" si="1"/>
        <v>6.2367086129761331E-3</v>
      </c>
      <c r="K13" s="176">
        <f t="shared" si="1"/>
        <v>6.0237711474388439E-3</v>
      </c>
      <c r="L13" s="172"/>
      <c r="M13" s="176">
        <f>AVERAGE(D51:INDEX(D51:K51,0,MATCH('RFPR cover'!$C$7,$D$6:$K$6,0)))/AVERAGE($D$65:INDEX($D$65:$K$65,0,MATCH('RFPR cover'!$C$7,$D$6:$K$6,0)))</f>
        <v>6.8655381817662193E-3</v>
      </c>
      <c r="N13" s="176">
        <f t="shared" si="3"/>
        <v>6.609833829550462E-3</v>
      </c>
      <c r="Q13" s="515"/>
      <c r="R13" s="515"/>
      <c r="S13" s="515"/>
      <c r="T13" s="515"/>
      <c r="U13" s="515"/>
      <c r="V13" s="515"/>
      <c r="W13" s="515"/>
      <c r="X13" s="515"/>
      <c r="Y13" s="515"/>
      <c r="Z13" s="515"/>
      <c r="AA13" s="515"/>
    </row>
    <row r="14" spans="1:27">
      <c r="B14" s="251" t="str">
        <f t="shared" si="2"/>
        <v>Interruptions-related quality of service</v>
      </c>
      <c r="C14" s="253" t="s">
        <v>7</v>
      </c>
      <c r="D14" s="174">
        <f t="shared" si="1"/>
        <v>1.1899943766775153E-2</v>
      </c>
      <c r="E14" s="175">
        <f t="shared" si="1"/>
        <v>1.2472395153537612E-2</v>
      </c>
      <c r="F14" s="175">
        <f t="shared" si="1"/>
        <v>6.5170107585081558E-3</v>
      </c>
      <c r="G14" s="175">
        <f t="shared" si="1"/>
        <v>1.2318711955412554E-2</v>
      </c>
      <c r="H14" s="175">
        <f t="shared" si="1"/>
        <v>1.1391855166773527E-2</v>
      </c>
      <c r="I14" s="175">
        <f t="shared" si="1"/>
        <v>8.4880688534604235E-3</v>
      </c>
      <c r="J14" s="175">
        <f t="shared" si="1"/>
        <v>8.0155952406347729E-3</v>
      </c>
      <c r="K14" s="176">
        <f t="shared" si="1"/>
        <v>7.5963339739373243E-3</v>
      </c>
      <c r="L14" s="172"/>
      <c r="M14" s="176">
        <f>AVERAGE(D52:INDEX(D52:K52,0,MATCH('RFPR cover'!$C$7,$D$6:$K$6,0)))/AVERAGE($D$65:INDEX($D$65:$K$65,0,MATCH('RFPR cover'!$C$7,$D$6:$K$6,0)))</f>
        <v>1.0914274486403171E-2</v>
      </c>
      <c r="N14" s="176">
        <f t="shared" si="3"/>
        <v>9.7440772387788165E-3</v>
      </c>
      <c r="Q14" s="515"/>
      <c r="R14" s="515"/>
      <c r="S14" s="515"/>
      <c r="T14" s="515"/>
      <c r="U14" s="515"/>
      <c r="V14" s="515"/>
      <c r="W14" s="515"/>
      <c r="X14" s="515"/>
      <c r="Y14" s="515"/>
      <c r="Z14" s="515"/>
      <c r="AA14" s="515"/>
    </row>
    <row r="15" spans="1:27">
      <c r="B15" s="251" t="str">
        <f t="shared" si="2"/>
        <v>Incentive on connections engagement</v>
      </c>
      <c r="C15" s="253" t="s">
        <v>7</v>
      </c>
      <c r="D15" s="174">
        <f t="shared" si="1"/>
        <v>0</v>
      </c>
      <c r="E15" s="175">
        <f t="shared" si="1"/>
        <v>0</v>
      </c>
      <c r="F15" s="175">
        <f t="shared" si="1"/>
        <v>0</v>
      </c>
      <c r="G15" s="175">
        <f t="shared" si="1"/>
        <v>0</v>
      </c>
      <c r="H15" s="175">
        <f t="shared" si="1"/>
        <v>0</v>
      </c>
      <c r="I15" s="175">
        <f t="shared" si="1"/>
        <v>0</v>
      </c>
      <c r="J15" s="175">
        <f t="shared" si="1"/>
        <v>0</v>
      </c>
      <c r="K15" s="176">
        <f t="shared" si="1"/>
        <v>0</v>
      </c>
      <c r="L15" s="172"/>
      <c r="M15" s="176">
        <f>AVERAGE(D53:INDEX(D53:K53,0,MATCH('RFPR cover'!$C$7,$D$6:$K$6,0)))/AVERAGE($D$65:INDEX($D$65:$K$65,0,MATCH('RFPR cover'!$C$7,$D$6:$K$6,0)))</f>
        <v>0</v>
      </c>
      <c r="N15" s="176">
        <f t="shared" si="3"/>
        <v>0</v>
      </c>
      <c r="Q15" s="515"/>
      <c r="R15" s="515"/>
      <c r="S15" s="515"/>
      <c r="T15" s="515"/>
      <c r="U15" s="515"/>
      <c r="V15" s="515"/>
      <c r="W15" s="515"/>
      <c r="X15" s="515"/>
      <c r="Y15" s="515"/>
      <c r="Z15" s="515"/>
      <c r="AA15" s="515"/>
    </row>
    <row r="16" spans="1:27">
      <c r="B16" s="251" t="str">
        <f t="shared" si="2"/>
        <v>Time to Connect Incentive</v>
      </c>
      <c r="C16" s="253" t="s">
        <v>7</v>
      </c>
      <c r="D16" s="174">
        <f t="shared" si="1"/>
        <v>1.2604361561492762E-3</v>
      </c>
      <c r="E16" s="175">
        <f t="shared" si="1"/>
        <v>1.7789642052346928E-3</v>
      </c>
      <c r="F16" s="175">
        <f t="shared" si="1"/>
        <v>1.930434643760529E-3</v>
      </c>
      <c r="G16" s="175">
        <f t="shared" si="1"/>
        <v>1.9963729918832333E-3</v>
      </c>
      <c r="H16" s="175">
        <f t="shared" si="1"/>
        <v>1.9644945266798957E-3</v>
      </c>
      <c r="I16" s="175">
        <f t="shared" si="1"/>
        <v>1.874584202488113E-3</v>
      </c>
      <c r="J16" s="175">
        <f t="shared" si="1"/>
        <v>1.8109746857280029E-3</v>
      </c>
      <c r="K16" s="176">
        <f t="shared" si="1"/>
        <v>1.7491432961824376E-3</v>
      </c>
      <c r="L16" s="172"/>
      <c r="M16" s="176">
        <f>AVERAGE(D54:INDEX(D54:K54,0,MATCH('RFPR cover'!$C$7,$D$6:$K$6,0)))/AVERAGE($D$65:INDEX($D$65:$K$65,0,MATCH('RFPR cover'!$C$7,$D$6:$K$6,0)))</f>
        <v>1.7952466371179985E-3</v>
      </c>
      <c r="N16" s="176">
        <f t="shared" si="3"/>
        <v>1.8012663856698495E-3</v>
      </c>
      <c r="Q16" s="515"/>
      <c r="R16" s="515"/>
      <c r="S16" s="515"/>
      <c r="T16" s="515"/>
      <c r="U16" s="515"/>
      <c r="V16" s="515"/>
      <c r="W16" s="515"/>
      <c r="X16" s="515"/>
      <c r="Y16" s="515"/>
      <c r="Z16" s="515"/>
      <c r="AA16" s="515"/>
    </row>
    <row r="17" spans="2:39">
      <c r="B17" s="251" t="str">
        <f t="shared" si="2"/>
        <v>Losses discretionary reward scheme</v>
      </c>
      <c r="C17" s="253" t="s">
        <v>7</v>
      </c>
      <c r="D17" s="174">
        <f t="shared" si="1"/>
        <v>0</v>
      </c>
      <c r="E17" s="175">
        <f t="shared" si="1"/>
        <v>1.0652741466904467E-4</v>
      </c>
      <c r="F17" s="175">
        <f t="shared" si="1"/>
        <v>0</v>
      </c>
      <c r="G17" s="175">
        <f t="shared" si="1"/>
        <v>0</v>
      </c>
      <c r="H17" s="175">
        <f t="shared" si="1"/>
        <v>0</v>
      </c>
      <c r="I17" s="175">
        <f t="shared" si="1"/>
        <v>0</v>
      </c>
      <c r="J17" s="175">
        <f t="shared" si="1"/>
        <v>0</v>
      </c>
      <c r="K17" s="176">
        <f t="shared" si="1"/>
        <v>0</v>
      </c>
      <c r="L17" s="172"/>
      <c r="M17" s="176">
        <f>AVERAGE(D55:INDEX(D55:K55,0,MATCH('RFPR cover'!$C$7,$D$6:$K$6,0)))/AVERAGE($D$65:INDEX($D$65:$K$65,0,MATCH('RFPR cover'!$C$7,$D$6:$K$6,0)))</f>
        <v>2.0796468608627568E-5</v>
      </c>
      <c r="N17" s="176">
        <f t="shared" si="3"/>
        <v>1.2379298949887794E-5</v>
      </c>
      <c r="Q17" s="515"/>
      <c r="R17" s="515"/>
      <c r="S17" s="515"/>
      <c r="T17" s="515"/>
      <c r="U17" s="515"/>
      <c r="V17" s="515"/>
      <c r="W17" s="515"/>
      <c r="X17" s="515"/>
      <c r="Y17" s="515"/>
      <c r="Z17" s="515"/>
      <c r="AA17" s="515"/>
    </row>
    <row r="18" spans="2:39">
      <c r="B18" s="251" t="str">
        <f t="shared" si="2"/>
        <v xml:space="preserve">Network Innovation </v>
      </c>
      <c r="C18" s="253" t="s">
        <v>7</v>
      </c>
      <c r="D18" s="174">
        <f t="shared" si="1"/>
        <v>2.4397350085286497E-3</v>
      </c>
      <c r="E18" s="175">
        <f t="shared" si="1"/>
        <v>-2.5677258931550715E-4</v>
      </c>
      <c r="F18" s="175">
        <f t="shared" si="1"/>
        <v>9.4046712664807273E-4</v>
      </c>
      <c r="G18" s="175">
        <f t="shared" si="1"/>
        <v>-1.9352090732687225E-4</v>
      </c>
      <c r="H18" s="175">
        <f t="shared" si="1"/>
        <v>-2.768013679742604E-4</v>
      </c>
      <c r="I18" s="175">
        <f t="shared" si="1"/>
        <v>-2.9196389892634727E-4</v>
      </c>
      <c r="J18" s="175">
        <f t="shared" si="1"/>
        <v>-2.546745958341131E-4</v>
      </c>
      <c r="K18" s="176">
        <f t="shared" si="1"/>
        <v>-2.0938563852751212E-4</v>
      </c>
      <c r="L18" s="172"/>
      <c r="M18" s="176">
        <f>AVERAGE(D56:INDEX(D56:K56,0,MATCH('RFPR cover'!$C$7,$D$6:$K$6,0)))/AVERAGE($D$65:INDEX($D$65:$K$65,0,MATCH('RFPR cover'!$C$7,$D$6:$K$6,0)))</f>
        <v>4.9957500078385078E-4</v>
      </c>
      <c r="N18" s="176">
        <f t="shared" si="3"/>
        <v>1.9576503354252776E-4</v>
      </c>
      <c r="Q18" s="515"/>
      <c r="R18" s="515"/>
      <c r="S18" s="515"/>
      <c r="T18" s="515"/>
      <c r="U18" s="515"/>
      <c r="V18" s="515"/>
      <c r="W18" s="515"/>
      <c r="X18" s="515"/>
      <c r="Y18" s="515"/>
      <c r="Z18" s="515"/>
      <c r="AA18" s="515"/>
    </row>
    <row r="19" spans="2:39">
      <c r="B19" s="251" t="str">
        <f>B57</f>
        <v>Penalties and fines</v>
      </c>
      <c r="C19" s="253" t="s">
        <v>7</v>
      </c>
      <c r="D19" s="184">
        <f t="shared" si="1"/>
        <v>-1.5410979015273108E-7</v>
      </c>
      <c r="E19" s="185">
        <f t="shared" si="1"/>
        <v>0</v>
      </c>
      <c r="F19" s="185">
        <f t="shared" si="1"/>
        <v>-6.9475743836413576E-8</v>
      </c>
      <c r="G19" s="185">
        <f t="shared" si="1"/>
        <v>-6.5806857655238575E-8</v>
      </c>
      <c r="H19" s="185">
        <f t="shared" si="1"/>
        <v>-6.2017365648556061E-8</v>
      </c>
      <c r="I19" s="185">
        <f t="shared" si="1"/>
        <v>-5.8994292822778396E-8</v>
      </c>
      <c r="J19" s="185">
        <f t="shared" si="1"/>
        <v>-5.5806573371227592E-8</v>
      </c>
      <c r="K19" s="186">
        <f t="shared" si="1"/>
        <v>-5.2548078671946532E-8</v>
      </c>
      <c r="L19" s="172"/>
      <c r="M19" s="186">
        <f>AVERAGE(D57:INDEX(D57:K57,0,MATCH('RFPR cover'!$C$7,$D$6:$K$6,0)))/AVERAGE($D$65:INDEX($D$65:$K$65,0,MATCH('RFPR cover'!$C$7,$D$6:$K$6,0)))</f>
        <v>-6.9539954483782647E-8</v>
      </c>
      <c r="N19" s="186">
        <f t="shared" si="3"/>
        <v>-6.3941837982262137E-8</v>
      </c>
      <c r="Q19" s="515"/>
      <c r="R19" s="515"/>
      <c r="S19" s="515"/>
      <c r="T19" s="515"/>
      <c r="U19" s="515"/>
      <c r="V19" s="515"/>
      <c r="W19" s="515"/>
      <c r="X19" s="515"/>
      <c r="Y19" s="515"/>
      <c r="Z19" s="515"/>
      <c r="AA19" s="515"/>
    </row>
    <row r="20" spans="2:39">
      <c r="B20" s="252" t="str">
        <f>B58</f>
        <v>RoRE - Operational performance</v>
      </c>
      <c r="C20" s="253" t="s">
        <v>7</v>
      </c>
      <c r="D20" s="187">
        <f t="shared" ref="D20:K20" si="4">SUM(D10:D19)</f>
        <v>0.12774071793562441</v>
      </c>
      <c r="E20" s="188">
        <f t="shared" si="4"/>
        <v>0.13659271278051191</v>
      </c>
      <c r="F20" s="188">
        <f t="shared" si="4"/>
        <v>3.7691984050185548E-2</v>
      </c>
      <c r="G20" s="188">
        <f t="shared" si="4"/>
        <v>0.12844987302958685</v>
      </c>
      <c r="H20" s="188">
        <f t="shared" si="4"/>
        <v>0.1252665859298544</v>
      </c>
      <c r="I20" s="188">
        <f t="shared" si="4"/>
        <v>0.1002311819153436</v>
      </c>
      <c r="J20" s="188">
        <f t="shared" si="4"/>
        <v>7.148263149844164E-2</v>
      </c>
      <c r="K20" s="189">
        <f t="shared" si="4"/>
        <v>7.7083427142591546E-2</v>
      </c>
      <c r="L20" s="173"/>
      <c r="M20" s="189">
        <f>SUM(M10:M19)</f>
        <v>0.11109740254958982</v>
      </c>
      <c r="N20" s="189">
        <f>SUM(N10:N19)</f>
        <v>9.9590858330271856E-2</v>
      </c>
      <c r="Q20" s="515"/>
      <c r="R20" s="515"/>
      <c r="S20" s="515"/>
      <c r="T20" s="515"/>
      <c r="U20" s="515"/>
      <c r="V20" s="515"/>
      <c r="W20" s="515"/>
      <c r="X20" s="515"/>
      <c r="Y20" s="515"/>
      <c r="Z20" s="515"/>
      <c r="AA20" s="515"/>
    </row>
    <row r="21" spans="2:39">
      <c r="B21" s="251" t="str">
        <f>B59</f>
        <v>Debt performance - at notional gearing</v>
      </c>
      <c r="C21" s="253" t="s">
        <v>7</v>
      </c>
      <c r="D21" s="174">
        <f>(D59)/D$65</f>
        <v>-4.1341268632868036E-2</v>
      </c>
      <c r="E21" s="175">
        <f t="shared" ref="E21:K21" si="5">(E59)/E$65</f>
        <v>-2.2807654770500212E-2</v>
      </c>
      <c r="F21" s="175">
        <f t="shared" si="5"/>
        <v>-2.9935963353201196E-3</v>
      </c>
      <c r="G21" s="175">
        <f t="shared" si="5"/>
        <v>-1.4149697121468728E-2</v>
      </c>
      <c r="H21" s="175">
        <f t="shared" si="5"/>
        <v>-2.6073760048953894E-2</v>
      </c>
      <c r="I21" s="175">
        <f t="shared" si="5"/>
        <v>-4.3398650559463715E-2</v>
      </c>
      <c r="J21" s="175">
        <f t="shared" si="5"/>
        <v>-1.8845324984432997E-2</v>
      </c>
      <c r="K21" s="176">
        <f t="shared" si="5"/>
        <v>-1.6854008862456034E-2</v>
      </c>
      <c r="L21" s="172"/>
      <c r="M21" s="176">
        <f>AVERAGE(D59:INDEX(D59:K59,0,MATCH('RFPR cover'!$C$7,$D$6:$K$6,0)))/AVERAGE($D$65:INDEX($D$65:$K$65,0,MATCH('RFPR cover'!$C$7,$D$6:$K$6,0)))</f>
        <v>-2.1262300601178855E-2</v>
      </c>
      <c r="N21" s="176">
        <f>AVERAGE(D59:K59)/AVERAGE($D$65:$K$65)</f>
        <v>-2.3204690975171468E-2</v>
      </c>
      <c r="Q21" s="515"/>
      <c r="R21" s="515"/>
      <c r="S21" s="515"/>
      <c r="T21" s="515"/>
      <c r="U21" s="515"/>
      <c r="V21" s="515"/>
      <c r="W21" s="515"/>
      <c r="X21" s="515"/>
      <c r="Y21" s="515"/>
      <c r="Z21" s="515"/>
      <c r="AA21" s="515"/>
    </row>
    <row r="22" spans="2:39">
      <c r="B22" s="251" t="str">
        <f>B61</f>
        <v>Tax performance - at notional gearing</v>
      </c>
      <c r="C22" s="253" t="s">
        <v>7</v>
      </c>
      <c r="D22" s="174">
        <f>(D61)/D$65</f>
        <v>5.1132243355303452E-3</v>
      </c>
      <c r="E22" s="175">
        <f t="shared" ref="E22:K22" si="6">(E61)/E$65</f>
        <v>1.9758889279298343E-2</v>
      </c>
      <c r="F22" s="175">
        <f t="shared" si="6"/>
        <v>1.6995867059054409E-2</v>
      </c>
      <c r="G22" s="175">
        <f t="shared" si="6"/>
        <v>1.3299221619918207E-2</v>
      </c>
      <c r="H22" s="175">
        <f t="shared" si="6"/>
        <v>5.4320242738143511E-3</v>
      </c>
      <c r="I22" s="175">
        <f t="shared" si="6"/>
        <v>-1.4522430363242344E-2</v>
      </c>
      <c r="J22" s="175">
        <f t="shared" si="6"/>
        <v>-1.8182406354341422E-2</v>
      </c>
      <c r="K22" s="176">
        <f t="shared" si="6"/>
        <v>-1.6026500770046283E-2</v>
      </c>
      <c r="L22" s="172"/>
      <c r="M22" s="176">
        <f>AVERAGE(D61:INDEX(D61:K61,0,MATCH('RFPR cover'!$C$7,$D$6:$K$6,0)))/AVERAGE($D$65:INDEX($D$65:$K$65,0,MATCH('RFPR cover'!$C$7,$D$6:$K$6,0)))</f>
        <v>1.2089804623112901E-2</v>
      </c>
      <c r="N22" s="176">
        <f>AVERAGE(D61:K61)/AVERAGE($D$65:$K$65)</f>
        <v>6.1521963357025363E-4</v>
      </c>
      <c r="Q22" s="515"/>
      <c r="R22" s="515"/>
      <c r="S22" s="515"/>
      <c r="T22" s="515"/>
      <c r="U22" s="515"/>
      <c r="V22" s="515"/>
      <c r="W22" s="515"/>
      <c r="X22" s="515"/>
      <c r="Y22" s="515"/>
      <c r="Z22" s="515"/>
      <c r="AA22" s="515"/>
    </row>
    <row r="23" spans="2:39">
      <c r="B23" s="252" t="str">
        <f>B63</f>
        <v>RoRE - including financing and tax</v>
      </c>
      <c r="C23" s="253" t="s">
        <v>7</v>
      </c>
      <c r="D23" s="190">
        <f>SUM(D20:D22)</f>
        <v>9.1512673638286718E-2</v>
      </c>
      <c r="E23" s="191">
        <f t="shared" ref="E23:K23" si="7">SUM(E20:E22)</f>
        <v>0.13354394728931004</v>
      </c>
      <c r="F23" s="191">
        <f t="shared" si="7"/>
        <v>5.169425477391984E-2</v>
      </c>
      <c r="G23" s="191">
        <f t="shared" si="7"/>
        <v>0.12759939752803634</v>
      </c>
      <c r="H23" s="191">
        <f t="shared" si="7"/>
        <v>0.10462485015471486</v>
      </c>
      <c r="I23" s="191">
        <f t="shared" si="7"/>
        <v>4.2310100992637538E-2</v>
      </c>
      <c r="J23" s="191">
        <f t="shared" si="7"/>
        <v>3.4454900159667221E-2</v>
      </c>
      <c r="K23" s="192">
        <f t="shared" si="7"/>
        <v>4.4202917510089229E-2</v>
      </c>
      <c r="L23" s="173"/>
      <c r="M23" s="192">
        <f>SUM(M20:M22)</f>
        <v>0.10192490657152387</v>
      </c>
      <c r="N23" s="192">
        <f>SUM(N20:N22)</f>
        <v>7.7001386988670636E-2</v>
      </c>
      <c r="Q23" s="515"/>
      <c r="R23" s="515"/>
      <c r="S23" s="515"/>
      <c r="T23" s="515"/>
      <c r="U23" s="515"/>
      <c r="V23" s="515"/>
      <c r="W23" s="515"/>
      <c r="X23" s="515"/>
      <c r="Y23" s="515"/>
      <c r="Z23" s="515"/>
      <c r="AA23" s="515"/>
    </row>
    <row r="24" spans="2:39">
      <c r="Q24" s="515"/>
      <c r="R24" s="515"/>
      <c r="S24" s="515"/>
      <c r="T24" s="515"/>
      <c r="U24" s="515"/>
      <c r="V24" s="515"/>
      <c r="W24" s="515"/>
      <c r="X24" s="515"/>
      <c r="Y24" s="515"/>
      <c r="Z24" s="515"/>
      <c r="AA24" s="515"/>
    </row>
    <row r="25" spans="2:39">
      <c r="Q25" s="515"/>
      <c r="R25" s="515"/>
      <c r="S25" s="515"/>
      <c r="T25" s="515"/>
      <c r="U25" s="515"/>
      <c r="V25" s="515"/>
      <c r="W25" s="515"/>
      <c r="X25" s="515"/>
      <c r="Y25" s="515"/>
      <c r="Z25" s="515"/>
      <c r="AA25" s="515"/>
    </row>
    <row r="26" spans="2:39" s="31" customFormat="1">
      <c r="B26" s="466"/>
      <c r="C26" s="362"/>
      <c r="Q26" s="515"/>
      <c r="R26" s="515"/>
      <c r="S26" s="515"/>
      <c r="T26" s="515"/>
      <c r="U26" s="515"/>
      <c r="V26" s="515"/>
      <c r="W26" s="515"/>
      <c r="X26" s="515"/>
      <c r="Y26" s="515"/>
      <c r="Z26" s="515"/>
      <c r="AA26" s="515"/>
      <c r="AB26"/>
      <c r="AC26"/>
      <c r="AD26"/>
      <c r="AE26"/>
      <c r="AF26"/>
      <c r="AG26"/>
      <c r="AH26"/>
      <c r="AI26"/>
      <c r="AJ26"/>
      <c r="AK26"/>
      <c r="AL26"/>
      <c r="AM26"/>
    </row>
    <row r="27" spans="2:39">
      <c r="B27" s="527" t="s">
        <v>216</v>
      </c>
      <c r="C27" s="420"/>
      <c r="D27" s="216"/>
      <c r="E27" s="216"/>
      <c r="F27" s="216"/>
      <c r="G27" s="216"/>
      <c r="H27" s="216"/>
      <c r="I27" s="216"/>
      <c r="J27" s="216"/>
      <c r="K27" s="216"/>
      <c r="L27" s="528"/>
      <c r="M27" s="216"/>
      <c r="N27" s="216"/>
      <c r="O27" s="216"/>
      <c r="Q27" s="515"/>
      <c r="R27" s="515"/>
      <c r="S27" s="515"/>
      <c r="T27" s="515"/>
      <c r="U27" s="515"/>
      <c r="V27" s="515"/>
      <c r="W27" s="515"/>
      <c r="X27" s="515"/>
      <c r="Y27" s="515"/>
      <c r="Z27" s="515"/>
      <c r="AA27" s="515"/>
    </row>
    <row r="28" spans="2:39">
      <c r="B28" s="196"/>
      <c r="L28" s="49"/>
      <c r="Q28" s="515"/>
      <c r="R28" s="515"/>
      <c r="S28" s="515"/>
      <c r="T28" s="515"/>
      <c r="U28" s="515"/>
      <c r="V28" s="515"/>
      <c r="W28" s="515"/>
      <c r="X28" s="515"/>
      <c r="Y28" s="515"/>
      <c r="Z28" s="515"/>
      <c r="AA28" s="515"/>
    </row>
    <row r="29" spans="2:39">
      <c r="B29" s="251" t="s">
        <v>215</v>
      </c>
      <c r="C29" s="253" t="s">
        <v>7</v>
      </c>
      <c r="D29" s="174">
        <f t="shared" ref="D29:K38" si="8">D48/D$66</f>
        <v>6.1120700978856544E-2</v>
      </c>
      <c r="E29" s="175">
        <f t="shared" si="8"/>
        <v>6.0058370488884252E-2</v>
      </c>
      <c r="F29" s="175">
        <f t="shared" si="8"/>
        <v>5.6701495387782193E-2</v>
      </c>
      <c r="G29" s="175">
        <f t="shared" si="8"/>
        <v>5.5524638727598691E-2</v>
      </c>
      <c r="H29" s="175">
        <f t="shared" si="8"/>
        <v>5.3345411489414331E-2</v>
      </c>
      <c r="I29" s="175">
        <f t="shared" si="8"/>
        <v>5.4953916889216137E-2</v>
      </c>
      <c r="J29" s="175">
        <f t="shared" si="8"/>
        <v>5.651006753581609E-2</v>
      </c>
      <c r="K29" s="176">
        <f t="shared" si="8"/>
        <v>5.2820778298749843E-2</v>
      </c>
      <c r="L29" s="172"/>
      <c r="M29" s="505">
        <f>AVERAGE(D48:INDEX(D48:K48,0,MATCH('RFPR cover'!$C$7,$D$6:$K$6,0)))/AVERAGE($D$66:INDEX($D$66:$K$66,0,MATCH('RFPR cover'!$C$7,$D$6:$K$6,0)))</f>
        <v>5.7094623315868204E-2</v>
      </c>
      <c r="N29" s="505">
        <f>AVERAGE(D48:K48)/AVERAGE($D$66:$K$66)</f>
        <v>5.6097965700877842E-2</v>
      </c>
      <c r="P29" s="320"/>
      <c r="Q29" s="515"/>
      <c r="R29" s="515"/>
      <c r="S29" s="515"/>
      <c r="T29" s="515"/>
      <c r="U29" s="515"/>
      <c r="V29" s="515"/>
      <c r="W29" s="515"/>
      <c r="X29" s="515"/>
      <c r="Y29" s="515"/>
      <c r="Z29" s="515"/>
      <c r="AA29" s="515"/>
    </row>
    <row r="30" spans="2:39">
      <c r="B30" s="251" t="str">
        <f t="shared" ref="B30:B37" si="9">B49</f>
        <v>Totex outperformance</v>
      </c>
      <c r="C30" s="253" t="s">
        <v>7</v>
      </c>
      <c r="D30" s="174">
        <f t="shared" si="8"/>
        <v>2.958745019554759E-2</v>
      </c>
      <c r="E30" s="175">
        <f t="shared" si="8"/>
        <v>3.9676384920612685E-2</v>
      </c>
      <c r="F30" s="175">
        <f t="shared" si="8"/>
        <v>-4.6044341097412331E-2</v>
      </c>
      <c r="G30" s="175">
        <f t="shared" si="8"/>
        <v>2.9543792500453012E-2</v>
      </c>
      <c r="H30" s="175">
        <f t="shared" si="8"/>
        <v>2.7618720742951176E-2</v>
      </c>
      <c r="I30" s="175">
        <f t="shared" si="8"/>
        <v>9.9428819206717461E-3</v>
      </c>
      <c r="J30" s="175">
        <f t="shared" si="8"/>
        <v>-1.4049605679564528E-2</v>
      </c>
      <c r="K30" s="176">
        <f t="shared" si="8"/>
        <v>-7.8667767901804287E-3</v>
      </c>
      <c r="L30" s="172"/>
      <c r="M30" s="176">
        <f>AVERAGE(D49:INDEX(D49:K49,0,MATCH('RFPR cover'!$C$7,$D$6:$K$6,0)))/AVERAGE($D$66:INDEX($D$66:$K$66,0,MATCH('RFPR cover'!$C$7,$D$6:$K$6,0)))</f>
        <v>1.5787667849860937E-2</v>
      </c>
      <c r="N30" s="176">
        <f t="shared" ref="N30:N38" si="10">AVERAGE(D49:K49)/AVERAGE($D$66:$K$66)</f>
        <v>7.5087299050718113E-3</v>
      </c>
      <c r="Q30" s="515"/>
      <c r="R30" s="515"/>
      <c r="S30" s="515"/>
      <c r="T30" s="515"/>
      <c r="U30" s="515"/>
      <c r="V30" s="515"/>
      <c r="W30" s="515"/>
      <c r="X30" s="515"/>
      <c r="Y30" s="515"/>
      <c r="Z30" s="515"/>
      <c r="AA30" s="515"/>
    </row>
    <row r="31" spans="2:39">
      <c r="B31" s="251" t="str">
        <f t="shared" si="9"/>
        <v>IQI Reward</v>
      </c>
      <c r="C31" s="253" t="s">
        <v>7</v>
      </c>
      <c r="D31" s="174">
        <f t="shared" si="8"/>
        <v>9.5617092100469536E-3</v>
      </c>
      <c r="E31" s="175">
        <f t="shared" si="8"/>
        <v>9.0706370396473751E-3</v>
      </c>
      <c r="F31" s="175">
        <f t="shared" si="8"/>
        <v>8.068151963688203E-3</v>
      </c>
      <c r="G31" s="175">
        <f t="shared" si="8"/>
        <v>8.2075685940617409E-3</v>
      </c>
      <c r="H31" s="175">
        <f t="shared" si="8"/>
        <v>6.9840782174373081E-3</v>
      </c>
      <c r="I31" s="175">
        <f t="shared" si="8"/>
        <v>6.9767267844286678E-3</v>
      </c>
      <c r="J31" s="175">
        <f t="shared" si="8"/>
        <v>6.6980726867733893E-3</v>
      </c>
      <c r="K31" s="176">
        <f t="shared" si="8"/>
        <v>6.1530866218431771E-3</v>
      </c>
      <c r="L31" s="172"/>
      <c r="M31" s="176">
        <f>AVERAGE(D50:INDEX(D50:K50,0,MATCH('RFPR cover'!$C$7,$D$6:$K$6,0)))/AVERAGE($D$66:INDEX($D$66:$K$66,0,MATCH('RFPR cover'!$C$7,$D$6:$K$6,0)))</f>
        <v>8.3009474256342964E-3</v>
      </c>
      <c r="N31" s="176">
        <f t="shared" si="10"/>
        <v>7.5917910504069517E-3</v>
      </c>
      <c r="Q31" s="515"/>
      <c r="R31" s="515"/>
      <c r="S31" s="515"/>
      <c r="T31" s="515"/>
      <c r="U31" s="515"/>
      <c r="V31" s="515"/>
      <c r="W31" s="515"/>
      <c r="X31" s="515"/>
      <c r="Y31" s="515"/>
      <c r="Z31" s="515"/>
      <c r="AA31" s="515"/>
    </row>
    <row r="32" spans="2:39">
      <c r="B32" s="251" t="str">
        <f t="shared" si="9"/>
        <v>Broad measure of customer service</v>
      </c>
      <c r="C32" s="253" t="s">
        <v>7</v>
      </c>
      <c r="D32" s="174">
        <f t="shared" si="8"/>
        <v>6.825790914064842E-3</v>
      </c>
      <c r="E32" s="175">
        <f t="shared" si="8"/>
        <v>6.1421983364408211E-3</v>
      </c>
      <c r="F32" s="175">
        <f t="shared" si="8"/>
        <v>6.3510549990239392E-3</v>
      </c>
      <c r="G32" s="175">
        <f t="shared" si="8"/>
        <v>5.9121518480085575E-3</v>
      </c>
      <c r="H32" s="175">
        <f t="shared" si="8"/>
        <v>5.5622113177860181E-3</v>
      </c>
      <c r="I32" s="175">
        <f t="shared" si="8"/>
        <v>5.5432785884808235E-3</v>
      </c>
      <c r="J32" s="175">
        <f t="shared" si="8"/>
        <v>5.5068253893826129E-3</v>
      </c>
      <c r="K32" s="176">
        <f t="shared" si="8"/>
        <v>4.9715668797073922E-3</v>
      </c>
      <c r="L32" s="172"/>
      <c r="M32" s="176">
        <f>AVERAGE(D51:INDEX(D51:K51,0,MATCH('RFPR cover'!$C$7,$D$6:$K$6,0)))/AVERAGE($D$66:INDEX($D$66:$K$66,0,MATCH('RFPR cover'!$C$7,$D$6:$K$6,0)))</f>
        <v>6.1247705679477018E-3</v>
      </c>
      <c r="N32" s="176">
        <f t="shared" si="10"/>
        <v>5.7937223665409975E-3</v>
      </c>
      <c r="Q32" s="515"/>
      <c r="R32" s="515"/>
      <c r="S32" s="515"/>
      <c r="T32" s="515"/>
      <c r="U32" s="515"/>
      <c r="V32" s="515"/>
      <c r="W32" s="515"/>
      <c r="X32" s="515"/>
      <c r="Y32" s="515"/>
      <c r="Z32" s="515"/>
      <c r="AA32" s="515"/>
    </row>
    <row r="33" spans="2:39">
      <c r="B33" s="251" t="str">
        <f t="shared" si="9"/>
        <v>Interruptions-related quality of service</v>
      </c>
      <c r="C33" s="253" t="s">
        <v>7</v>
      </c>
      <c r="D33" s="174">
        <f t="shared" si="8"/>
        <v>1.1364576634910499E-2</v>
      </c>
      <c r="E33" s="175">
        <f t="shared" si="8"/>
        <v>1.1704245765858223E-2</v>
      </c>
      <c r="F33" s="175">
        <f t="shared" si="8"/>
        <v>5.7738164916512052E-3</v>
      </c>
      <c r="G33" s="175">
        <f t="shared" si="8"/>
        <v>1.0687375483025514E-2</v>
      </c>
      <c r="H33" s="175">
        <f t="shared" si="8"/>
        <v>9.4953625234272566E-3</v>
      </c>
      <c r="I33" s="175">
        <f t="shared" si="8"/>
        <v>7.2883223487970033E-3</v>
      </c>
      <c r="J33" s="175">
        <f t="shared" si="8"/>
        <v>7.077528568563079E-3</v>
      </c>
      <c r="K33" s="176">
        <f t="shared" si="8"/>
        <v>6.2694417612594502E-3</v>
      </c>
      <c r="L33" s="172"/>
      <c r="M33" s="176">
        <f>AVERAGE(D52:INDEX(D52:K52,0,MATCH('RFPR cover'!$C$7,$D$6:$K$6,0)))/AVERAGE($D$66:INDEX($D$66:$K$66,0,MATCH('RFPR cover'!$C$7,$D$6:$K$6,0)))</f>
        <v>9.7366623526121843E-3</v>
      </c>
      <c r="N33" s="176">
        <f t="shared" si="10"/>
        <v>8.5409829801206E-3</v>
      </c>
      <c r="Q33" s="515"/>
      <c r="R33" s="515"/>
      <c r="S33" s="515"/>
      <c r="T33" s="515"/>
      <c r="U33" s="515"/>
      <c r="V33" s="515"/>
      <c r="W33" s="515"/>
      <c r="X33" s="515"/>
      <c r="Y33" s="515"/>
      <c r="Z33" s="515"/>
      <c r="AA33" s="515"/>
    </row>
    <row r="34" spans="2:39">
      <c r="B34" s="251" t="str">
        <f t="shared" si="9"/>
        <v>Incentive on connections engagement</v>
      </c>
      <c r="C34" s="253" t="s">
        <v>7</v>
      </c>
      <c r="D34" s="174">
        <f t="shared" si="8"/>
        <v>0</v>
      </c>
      <c r="E34" s="175">
        <f t="shared" si="8"/>
        <v>0</v>
      </c>
      <c r="F34" s="175">
        <f t="shared" si="8"/>
        <v>0</v>
      </c>
      <c r="G34" s="175">
        <f t="shared" si="8"/>
        <v>0</v>
      </c>
      <c r="H34" s="175">
        <f t="shared" si="8"/>
        <v>0</v>
      </c>
      <c r="I34" s="175">
        <f t="shared" si="8"/>
        <v>0</v>
      </c>
      <c r="J34" s="175">
        <f t="shared" si="8"/>
        <v>0</v>
      </c>
      <c r="K34" s="176">
        <f t="shared" si="8"/>
        <v>0</v>
      </c>
      <c r="L34" s="172"/>
      <c r="M34" s="176">
        <f>AVERAGE(D53:INDEX(D53:K53,0,MATCH('RFPR cover'!$C$7,$D$6:$K$6,0)))/AVERAGE($D$66:INDEX($D$66:$K$66,0,MATCH('RFPR cover'!$C$7,$D$6:$K$6,0)))</f>
        <v>0</v>
      </c>
      <c r="N34" s="176">
        <f t="shared" si="10"/>
        <v>0</v>
      </c>
      <c r="Q34" s="515"/>
      <c r="R34" s="515"/>
      <c r="S34" s="515"/>
      <c r="T34" s="515"/>
      <c r="U34" s="515"/>
      <c r="V34" s="515"/>
      <c r="W34" s="515"/>
      <c r="X34" s="515"/>
      <c r="Y34" s="515"/>
      <c r="Z34" s="515"/>
      <c r="AA34" s="515"/>
    </row>
    <row r="35" spans="2:39">
      <c r="B35" s="251" t="str">
        <f t="shared" si="9"/>
        <v>Time to Connect Incentive</v>
      </c>
      <c r="C35" s="253" t="s">
        <v>7</v>
      </c>
      <c r="D35" s="174">
        <f t="shared" si="8"/>
        <v>1.2037303344209257E-3</v>
      </c>
      <c r="E35" s="175">
        <f t="shared" si="8"/>
        <v>1.669401426944511E-3</v>
      </c>
      <c r="F35" s="175">
        <f t="shared" si="8"/>
        <v>1.7102895476500404E-3</v>
      </c>
      <c r="G35" s="175">
        <f t="shared" si="8"/>
        <v>1.7319982678101851E-3</v>
      </c>
      <c r="H35" s="175">
        <f t="shared" si="8"/>
        <v>1.6374495139756451E-3</v>
      </c>
      <c r="I35" s="175">
        <f t="shared" si="8"/>
        <v>1.609621007271395E-3</v>
      </c>
      <c r="J35" s="175">
        <f t="shared" si="8"/>
        <v>1.5990359655647308E-3</v>
      </c>
      <c r="K35" s="176">
        <f t="shared" si="8"/>
        <v>1.4436110978187041E-3</v>
      </c>
      <c r="L35" s="172"/>
      <c r="M35" s="176">
        <f>AVERAGE(D54:INDEX(D54:K54,0,MATCH('RFPR cover'!$C$7,$D$6:$K$6,0)))/AVERAGE($D$66:INDEX($D$66:$K$66,0,MATCH('RFPR cover'!$C$7,$D$6:$K$6,0)))</f>
        <v>1.6015457891458006E-3</v>
      </c>
      <c r="N35" s="176">
        <f t="shared" si="10"/>
        <v>1.5788653112726782E-3</v>
      </c>
      <c r="Q35" s="515"/>
      <c r="R35" s="515"/>
      <c r="S35" s="515"/>
      <c r="T35" s="515"/>
      <c r="U35" s="515"/>
      <c r="V35" s="515"/>
      <c r="W35" s="515"/>
      <c r="X35" s="515"/>
      <c r="Y35" s="515"/>
      <c r="Z35" s="515"/>
      <c r="AA35" s="515"/>
    </row>
    <row r="36" spans="2:39">
      <c r="B36" s="251" t="str">
        <f t="shared" si="9"/>
        <v>Losses discretionary reward scheme</v>
      </c>
      <c r="C36" s="253" t="s">
        <v>7</v>
      </c>
      <c r="D36" s="174">
        <f t="shared" si="8"/>
        <v>0</v>
      </c>
      <c r="E36" s="175">
        <f t="shared" si="8"/>
        <v>9.9966608397132625E-5</v>
      </c>
      <c r="F36" s="175">
        <f t="shared" si="8"/>
        <v>0</v>
      </c>
      <c r="G36" s="175">
        <f t="shared" si="8"/>
        <v>0</v>
      </c>
      <c r="H36" s="175">
        <f t="shared" si="8"/>
        <v>0</v>
      </c>
      <c r="I36" s="175">
        <f t="shared" si="8"/>
        <v>0</v>
      </c>
      <c r="J36" s="175">
        <f t="shared" si="8"/>
        <v>0</v>
      </c>
      <c r="K36" s="176">
        <f t="shared" si="8"/>
        <v>0</v>
      </c>
      <c r="L36" s="172"/>
      <c r="M36" s="176">
        <f>AVERAGE(D55:INDEX(D55:K55,0,MATCH('RFPR cover'!$C$7,$D$6:$K$6,0)))/AVERAGE($D$66:INDEX($D$66:$K$66,0,MATCH('RFPR cover'!$C$7,$D$6:$K$6,0)))</f>
        <v>1.8552602211091694E-5</v>
      </c>
      <c r="N36" s="176">
        <f t="shared" si="10"/>
        <v>1.08508357483081E-5</v>
      </c>
      <c r="Q36" s="515"/>
      <c r="R36" s="515"/>
      <c r="S36" s="515"/>
      <c r="T36" s="515"/>
      <c r="U36" s="515"/>
      <c r="V36" s="515"/>
      <c r="W36" s="515"/>
      <c r="X36" s="515"/>
      <c r="Y36" s="515"/>
      <c r="Z36" s="515"/>
      <c r="AA36" s="515"/>
    </row>
    <row r="37" spans="2:39">
      <c r="B37" s="251" t="str">
        <f t="shared" si="9"/>
        <v xml:space="preserve">Network Innovation </v>
      </c>
      <c r="C37" s="253" t="s">
        <v>7</v>
      </c>
      <c r="D37" s="174">
        <f t="shared" si="8"/>
        <v>2.3299736550613692E-3</v>
      </c>
      <c r="E37" s="175">
        <f t="shared" si="8"/>
        <v>-2.4095848907032582E-4</v>
      </c>
      <c r="F37" s="175">
        <f t="shared" si="8"/>
        <v>8.3321706943744476E-4</v>
      </c>
      <c r="G37" s="175">
        <f t="shared" si="8"/>
        <v>-1.6789341352440139E-4</v>
      </c>
      <c r="H37" s="175">
        <f t="shared" si="8"/>
        <v>-2.3072004492843303E-4</v>
      </c>
      <c r="I37" s="175">
        <f t="shared" si="8"/>
        <v>-2.5069624744140608E-4</v>
      </c>
      <c r="J37" s="175">
        <f t="shared" si="8"/>
        <v>-2.2486997828503747E-4</v>
      </c>
      <c r="K37" s="176">
        <f t="shared" si="8"/>
        <v>-1.7281113111881078E-4</v>
      </c>
      <c r="L37" s="172"/>
      <c r="M37" s="176">
        <f>AVERAGE(D56:INDEX(D56:K56,0,MATCH('RFPR cover'!$C$7,$D$6:$K$6,0)))/AVERAGE($D$66:INDEX($D$66:$K$66,0,MATCH('RFPR cover'!$C$7,$D$6:$K$6,0)))</f>
        <v>4.4567260137153936E-4</v>
      </c>
      <c r="N37" s="176">
        <f t="shared" si="10"/>
        <v>1.7159406464218625E-4</v>
      </c>
      <c r="Q37" s="515"/>
      <c r="R37" s="515"/>
      <c r="S37" s="515"/>
      <c r="T37" s="515"/>
      <c r="U37" s="515"/>
      <c r="V37" s="515"/>
      <c r="W37" s="515"/>
      <c r="X37" s="515"/>
      <c r="Y37" s="515"/>
      <c r="Z37" s="515"/>
      <c r="AA37" s="515"/>
    </row>
    <row r="38" spans="2:39">
      <c r="B38" s="251" t="str">
        <f>B57</f>
        <v>Penalties and fines</v>
      </c>
      <c r="C38" s="253" t="s">
        <v>7</v>
      </c>
      <c r="D38" s="184">
        <f t="shared" si="8"/>
        <v>-1.4717653752874074E-7</v>
      </c>
      <c r="E38" s="185">
        <f t="shared" si="8"/>
        <v>0</v>
      </c>
      <c r="F38" s="185">
        <f t="shared" si="8"/>
        <v>-6.1552790135986588E-8</v>
      </c>
      <c r="G38" s="185">
        <f t="shared" si="8"/>
        <v>-5.709221870477554E-8</v>
      </c>
      <c r="H38" s="185">
        <f t="shared" si="8"/>
        <v>-5.1692842031432686E-8</v>
      </c>
      <c r="I38" s="185">
        <f t="shared" si="8"/>
        <v>-5.0655741636266315E-8</v>
      </c>
      <c r="J38" s="185">
        <f t="shared" si="8"/>
        <v>-4.92755192211023E-8</v>
      </c>
      <c r="K38" s="186">
        <f t="shared" si="8"/>
        <v>-4.3369225211814887E-8</v>
      </c>
      <c r="L38" s="172"/>
      <c r="M38" s="186">
        <f>AVERAGE(D57:INDEX(D57:K57,0,MATCH('RFPR cover'!$C$7,$D$6:$K$6,0)))/AVERAGE($D$66:INDEX($D$66:$K$66,0,MATCH('RFPR cover'!$C$7,$D$6:$K$6,0)))</f>
        <v>-6.2036836041471701E-8</v>
      </c>
      <c r="N38" s="186">
        <f t="shared" si="10"/>
        <v>-5.6046984905937948E-8</v>
      </c>
      <c r="Q38" s="515"/>
      <c r="R38" s="515"/>
      <c r="S38" s="515"/>
      <c r="T38" s="515"/>
      <c r="U38" s="515"/>
      <c r="V38" s="515"/>
      <c r="W38" s="515"/>
      <c r="X38" s="515"/>
      <c r="Y38" s="515"/>
      <c r="Z38" s="515"/>
      <c r="AA38" s="515"/>
    </row>
    <row r="39" spans="2:39">
      <c r="B39" s="252" t="str">
        <f>B58</f>
        <v>RoRE - Operational performance</v>
      </c>
      <c r="C39" s="253" t="s">
        <v>7</v>
      </c>
      <c r="D39" s="187">
        <f t="shared" ref="D39:K39" si="11">SUM(D29:D38)</f>
        <v>0.12199378474637118</v>
      </c>
      <c r="E39" s="188">
        <f t="shared" si="11"/>
        <v>0.1281802460977147</v>
      </c>
      <c r="F39" s="188">
        <f t="shared" si="11"/>
        <v>3.3393622809030556E-2</v>
      </c>
      <c r="G39" s="188">
        <f t="shared" si="11"/>
        <v>0.11143957491521461</v>
      </c>
      <c r="H39" s="188">
        <f t="shared" si="11"/>
        <v>0.10441246206722125</v>
      </c>
      <c r="I39" s="188">
        <f t="shared" si="11"/>
        <v>8.6064000635682716E-2</v>
      </c>
      <c r="J39" s="188">
        <f t="shared" si="11"/>
        <v>6.3117005212731114E-2</v>
      </c>
      <c r="K39" s="189">
        <f t="shared" si="11"/>
        <v>6.3618853368854131E-2</v>
      </c>
      <c r="L39" s="173"/>
      <c r="M39" s="189">
        <f>SUM(M29:M38)</f>
        <v>9.9110380467815715E-2</v>
      </c>
      <c r="N39" s="189">
        <f>SUM(N29:N38)</f>
        <v>8.7294446167696479E-2</v>
      </c>
      <c r="Q39" s="515"/>
      <c r="R39" s="515"/>
      <c r="S39" s="515"/>
      <c r="T39" s="515"/>
      <c r="U39" s="515"/>
      <c r="V39" s="515"/>
      <c r="W39" s="515"/>
      <c r="X39" s="515"/>
      <c r="Y39" s="515"/>
      <c r="Z39" s="515"/>
      <c r="AA39" s="515"/>
    </row>
    <row r="40" spans="2:39">
      <c r="B40" s="251" t="s">
        <v>457</v>
      </c>
      <c r="C40" s="253" t="s">
        <v>7</v>
      </c>
      <c r="D40" s="174">
        <f>(D59+D60)/D$66</f>
        <v>-3.7562100860564968E-2</v>
      </c>
      <c r="E40" s="175">
        <f t="shared" ref="E40:K40" si="12">(E59+E60)/E$66</f>
        <v>-1.9473978521646559E-2</v>
      </c>
      <c r="F40" s="175">
        <f t="shared" si="12"/>
        <v>-4.1773364014133143E-4</v>
      </c>
      <c r="G40" s="175">
        <f t="shared" si="12"/>
        <v>-9.2181274277436647E-3</v>
      </c>
      <c r="H40" s="175">
        <f t="shared" si="12"/>
        <v>-1.7265166066060596E-2</v>
      </c>
      <c r="I40" s="175">
        <f t="shared" si="12"/>
        <v>-3.2713508397995035E-2</v>
      </c>
      <c r="J40" s="175">
        <f t="shared" si="12"/>
        <v>-1.4722373731898733E-2</v>
      </c>
      <c r="K40" s="176">
        <f t="shared" si="12"/>
        <v>-1.167396899066544E-2</v>
      </c>
      <c r="L40" s="172"/>
      <c r="M40" s="176">
        <f>(AVERAGE(D59:INDEX(D59:K59,0,MATCH('RFPR cover'!$C$7,$D$6:$K$6,0)))+AVERAGE(D60:INDEX(D60:K60,0,MATCH('RFPR cover'!$C$7,$D$6:$K$6,0))))/AVERAGE($D$66:INDEX($D$66:$K$66,0,MATCH('RFPR cover'!$C$7,$D$6:$K$6,0)))</f>
        <v>-1.6166519159082866E-2</v>
      </c>
      <c r="N40" s="176">
        <f>(AVERAGE(D59:K59)+AVERAGE(D60:K60))/AVERAGE($D$66:$K$66)</f>
        <v>-1.7507564636657522E-2</v>
      </c>
      <c r="Q40" s="515"/>
      <c r="R40" s="515"/>
      <c r="S40" s="515"/>
      <c r="T40" s="515"/>
      <c r="U40" s="515"/>
      <c r="V40" s="515"/>
      <c r="W40" s="515"/>
      <c r="X40" s="515"/>
      <c r="Y40" s="515"/>
      <c r="Z40" s="515"/>
      <c r="AA40" s="515"/>
    </row>
    <row r="41" spans="2:39">
      <c r="B41" s="251" t="s">
        <v>458</v>
      </c>
      <c r="C41" s="253" t="s">
        <v>7</v>
      </c>
      <c r="D41" s="174">
        <f>(D61+D62)/D$66</f>
        <v>4.8831852445275431E-3</v>
      </c>
      <c r="E41" s="175">
        <f t="shared" ref="E41:K41" si="13">(E61+E62)/E$66</f>
        <v>1.8541979574764732E-2</v>
      </c>
      <c r="F41" s="175">
        <f t="shared" si="13"/>
        <v>1.5057673088442698E-2</v>
      </c>
      <c r="G41" s="175">
        <f t="shared" si="13"/>
        <v>1.1538038684441065E-2</v>
      </c>
      <c r="H41" s="175">
        <f t="shared" si="13"/>
        <v>4.5277120329236496E-3</v>
      </c>
      <c r="I41" s="175">
        <f t="shared" si="13"/>
        <v>-1.246975673767264E-2</v>
      </c>
      <c r="J41" s="175">
        <f t="shared" si="13"/>
        <v>-1.605451579761696E-2</v>
      </c>
      <c r="K41" s="176">
        <f t="shared" si="13"/>
        <v>-1.3227066313739972E-2</v>
      </c>
      <c r="L41" s="172"/>
      <c r="M41" s="176">
        <f>(AVERAGE(D61:INDEX(D61:K61,0,MATCH('RFPR cover'!$C$7,$D$6:$K$6,0)))+AVERAGE(D62:INDEX(D62:K62,0,MATCH('RFPR cover'!$C$7,$D$6:$K$6,0))))/AVERAGE($D$66:INDEX($D$66:$K$66,0,MATCH('RFPR cover'!$C$7,$D$6:$K$6,0)))</f>
        <v>1.0785356889360513E-2</v>
      </c>
      <c r="N41" s="176">
        <f>(AVERAGE(D61:K61)+AVERAGE(D62:K62))/AVERAGE($D$66:$K$66)</f>
        <v>5.3925890472704201E-4</v>
      </c>
      <c r="Q41" s="515"/>
      <c r="R41" s="515"/>
      <c r="S41" s="515"/>
      <c r="T41" s="515"/>
      <c r="U41" s="515"/>
      <c r="V41" s="515"/>
      <c r="W41" s="515"/>
      <c r="X41" s="515"/>
      <c r="Y41" s="515"/>
      <c r="Z41" s="515"/>
      <c r="AA41" s="515"/>
    </row>
    <row r="42" spans="2:39">
      <c r="B42" s="252" t="str">
        <f>B63</f>
        <v>RoRE - including financing and tax</v>
      </c>
      <c r="C42" s="253" t="s">
        <v>7</v>
      </c>
      <c r="D42" s="190">
        <f>SUM(D39:D41)</f>
        <v>8.9314869130333763E-2</v>
      </c>
      <c r="E42" s="191">
        <f t="shared" ref="E42:K42" si="14">SUM(E39:E41)</f>
        <v>0.12724824715083285</v>
      </c>
      <c r="F42" s="191">
        <f t="shared" si="14"/>
        <v>4.8033562257331922E-2</v>
      </c>
      <c r="G42" s="191">
        <f t="shared" si="14"/>
        <v>0.11375948617191201</v>
      </c>
      <c r="H42" s="191">
        <f t="shared" si="14"/>
        <v>9.1675008034084307E-2</v>
      </c>
      <c r="I42" s="191">
        <f t="shared" si="14"/>
        <v>4.0880735500015045E-2</v>
      </c>
      <c r="J42" s="191">
        <f t="shared" si="14"/>
        <v>3.2340115683215417E-2</v>
      </c>
      <c r="K42" s="192">
        <f t="shared" si="14"/>
        <v>3.8717818064448718E-2</v>
      </c>
      <c r="L42" s="173"/>
      <c r="M42" s="192">
        <f>SUM(M39:M41)</f>
        <v>9.3729218198093364E-2</v>
      </c>
      <c r="N42" s="192">
        <f>SUM(N39:N41)</f>
        <v>7.0326140435766002E-2</v>
      </c>
      <c r="Q42" s="515"/>
      <c r="R42" s="515"/>
      <c r="S42" s="515"/>
      <c r="T42" s="515"/>
      <c r="U42" s="515"/>
      <c r="V42" s="515"/>
      <c r="W42" s="515"/>
      <c r="X42" s="515"/>
      <c r="Y42" s="515"/>
      <c r="Z42" s="515"/>
      <c r="AA42" s="515"/>
    </row>
    <row r="43" spans="2:39" s="31" customFormat="1">
      <c r="B43" s="467"/>
      <c r="C43" s="468"/>
      <c r="D43" s="469"/>
      <c r="E43" s="469"/>
      <c r="F43" s="469"/>
      <c r="G43" s="469"/>
      <c r="H43" s="469"/>
      <c r="I43" s="469"/>
      <c r="J43" s="469"/>
      <c r="K43" s="469"/>
      <c r="L43" s="470"/>
      <c r="M43" s="469"/>
      <c r="N43" s="469"/>
      <c r="Q43" s="515"/>
      <c r="R43" s="515"/>
      <c r="S43" s="515"/>
      <c r="T43" s="515"/>
      <c r="U43" s="515"/>
      <c r="V43" s="515"/>
      <c r="W43" s="515"/>
      <c r="X43" s="515"/>
      <c r="Y43" s="515"/>
      <c r="Z43" s="515"/>
      <c r="AA43" s="515"/>
      <c r="AB43"/>
      <c r="AC43"/>
      <c r="AD43"/>
      <c r="AE43"/>
      <c r="AF43"/>
      <c r="AG43"/>
      <c r="AH43"/>
      <c r="AI43"/>
      <c r="AJ43"/>
      <c r="AK43"/>
      <c r="AL43"/>
      <c r="AM43"/>
    </row>
    <row r="44" spans="2:39" s="31" customFormat="1">
      <c r="B44" s="467"/>
      <c r="C44" s="468"/>
      <c r="D44" s="469"/>
      <c r="E44" s="469"/>
      <c r="F44" s="469"/>
      <c r="G44" s="469"/>
      <c r="H44" s="469"/>
      <c r="I44" s="469"/>
      <c r="J44" s="469"/>
      <c r="K44" s="469"/>
      <c r="L44" s="470"/>
      <c r="M44" s="469"/>
      <c r="N44" s="469"/>
      <c r="Q44" s="515"/>
      <c r="R44" s="515"/>
      <c r="S44" s="515"/>
      <c r="T44" s="515"/>
      <c r="U44" s="515"/>
      <c r="V44" s="515"/>
      <c r="W44" s="515"/>
      <c r="X44" s="515"/>
      <c r="Y44" s="515"/>
      <c r="Z44" s="515"/>
      <c r="AA44" s="515"/>
    </row>
    <row r="45" spans="2:39" s="31" customFormat="1">
      <c r="B45" s="521" t="s">
        <v>393</v>
      </c>
      <c r="C45" s="522"/>
      <c r="D45" s="523"/>
      <c r="E45" s="523"/>
      <c r="F45" s="523"/>
      <c r="G45" s="523"/>
      <c r="H45" s="523"/>
      <c r="I45" s="523"/>
      <c r="J45" s="523"/>
      <c r="K45" s="523"/>
      <c r="L45" s="524"/>
      <c r="M45" s="523"/>
      <c r="N45" s="523"/>
      <c r="O45" s="216"/>
      <c r="Q45" s="515"/>
      <c r="R45" s="515"/>
      <c r="S45" s="515"/>
      <c r="T45" s="515"/>
      <c r="U45" s="515"/>
      <c r="V45" s="515"/>
      <c r="W45" s="515"/>
      <c r="X45" s="515"/>
      <c r="Y45" s="515"/>
      <c r="Z45" s="515"/>
      <c r="AA45" s="515"/>
    </row>
    <row r="46" spans="2:39" s="31" customFormat="1">
      <c r="B46" s="526" t="str">
        <f>"Input values provided in "&amp;'RFPR cover'!C14&amp;" prices"</f>
        <v>Input values provided in £m 12/13 prices</v>
      </c>
      <c r="C46" s="525"/>
      <c r="D46" s="525"/>
      <c r="E46" s="525"/>
      <c r="F46" s="525"/>
      <c r="G46" s="525"/>
      <c r="H46" s="525"/>
      <c r="I46" s="525"/>
      <c r="J46" s="525"/>
      <c r="K46" s="525"/>
      <c r="L46" s="525"/>
      <c r="M46" s="525"/>
      <c r="N46" s="525"/>
      <c r="O46" s="525"/>
      <c r="Q46" s="515"/>
      <c r="R46" s="515"/>
      <c r="S46" s="515"/>
      <c r="T46" s="515"/>
      <c r="U46" s="515"/>
      <c r="V46" s="515"/>
      <c r="W46" s="515"/>
      <c r="X46" s="515"/>
      <c r="Y46" s="515"/>
      <c r="Z46" s="515"/>
      <c r="AA46" s="515"/>
    </row>
    <row r="47" spans="2:39">
      <c r="Q47" s="515"/>
      <c r="R47" s="515"/>
      <c r="S47" s="515"/>
      <c r="T47" s="515"/>
      <c r="U47" s="515"/>
      <c r="V47" s="515"/>
      <c r="W47" s="515"/>
      <c r="X47" s="515"/>
      <c r="Y47" s="515"/>
      <c r="Z47" s="515"/>
      <c r="AA47" s="515"/>
    </row>
    <row r="48" spans="2:39">
      <c r="B48" s="246" t="s">
        <v>228</v>
      </c>
      <c r="C48" s="339" t="str">
        <f>'RFPR cover'!$C$14</f>
        <v>£m 12/13</v>
      </c>
      <c r="D48" s="177">
        <f>'R9 - RAV'!D50</f>
        <v>18.799892310605564</v>
      </c>
      <c r="E48" s="178">
        <f>'R9 - RAV'!E50</f>
        <v>19.465411851420427</v>
      </c>
      <c r="F48" s="178">
        <f>'R9 - RAV'!F50</f>
        <v>19.923024135683196</v>
      </c>
      <c r="G48" s="178">
        <f>'R9 - RAV'!G50</f>
        <v>20.410133860588328</v>
      </c>
      <c r="H48" s="178">
        <f>'R9 - RAV'!H50</f>
        <v>21.11077401171994</v>
      </c>
      <c r="I48" s="178">
        <f>'R9 - RAV'!I50</f>
        <v>21.821596385212743</v>
      </c>
      <c r="J48" s="178">
        <f>'R9 - RAV'!J50</f>
        <v>22.588068281223563</v>
      </c>
      <c r="K48" s="179">
        <f>'R9 - RAV'!K50</f>
        <v>23.386545828504225</v>
      </c>
      <c r="M48" s="94">
        <f>SUM(D48:INDEX(D48:K48,0,MATCH('RFPR cover'!$C$7,$D$6:$K$6,0)))</f>
        <v>99.709236170017462</v>
      </c>
      <c r="N48" s="94">
        <f>SUM(D48:K48)</f>
        <v>167.50544666495801</v>
      </c>
      <c r="Q48" s="515"/>
      <c r="R48" s="515"/>
      <c r="S48" s="515"/>
      <c r="T48" s="515"/>
      <c r="U48" s="515"/>
      <c r="V48" s="515"/>
      <c r="W48" s="515"/>
      <c r="X48" s="515"/>
      <c r="Y48" s="515"/>
      <c r="Z48" s="515"/>
      <c r="AA48" s="515"/>
    </row>
    <row r="49" spans="2:27">
      <c r="B49" s="246" t="s">
        <v>102</v>
      </c>
      <c r="C49" s="339" t="str">
        <f>'RFPR cover'!$C$14</f>
        <v>£m 12/13</v>
      </c>
      <c r="D49" s="250">
        <f>'R4 - Totex'!D35+'R4 - Totex'!D63</f>
        <v>9.1006953211174775</v>
      </c>
      <c r="E49" s="250">
        <f>'R4 - Totex'!E35+'R4 - Totex'!E63</f>
        <v>12.859442688311951</v>
      </c>
      <c r="F49" s="250">
        <f>'R4 - Totex'!F35+'R4 - Totex'!F63</f>
        <v>-16.17845372016486</v>
      </c>
      <c r="G49" s="250">
        <f>'R4 - Totex'!G35+'R4 - Totex'!G63</f>
        <v>10.859913247557468</v>
      </c>
      <c r="H49" s="250">
        <f>'R4 - Totex'!H35+'R4 - Totex'!H63</f>
        <v>10.929760513946789</v>
      </c>
      <c r="I49" s="250">
        <f>'R4 - Totex'!I35+'R4 - Totex'!I63</f>
        <v>3.9482091261324568</v>
      </c>
      <c r="J49" s="250">
        <f>'R4 - Totex'!J35+'R4 - Totex'!J63</f>
        <v>-5.6158745910740819</v>
      </c>
      <c r="K49" s="250">
        <f>'R4 - Totex'!K35+'R4 - Totex'!K63</f>
        <v>-3.4830372033825618</v>
      </c>
      <c r="M49" s="94">
        <f>SUM(D49:INDEX(D49:K49,0,MATCH('RFPR cover'!$C$7,$D$6:$K$6,0)))</f>
        <v>27.571358050768826</v>
      </c>
      <c r="N49" s="94">
        <f>SUM(D49:K49)</f>
        <v>22.42065538244464</v>
      </c>
      <c r="Q49" s="515"/>
      <c r="R49" s="515"/>
      <c r="S49" s="515"/>
      <c r="T49" s="515"/>
      <c r="U49" s="515"/>
      <c r="V49" s="515"/>
      <c r="W49" s="515"/>
      <c r="X49" s="515"/>
      <c r="Y49" s="515"/>
      <c r="Z49" s="515"/>
      <c r="AA49" s="515"/>
    </row>
    <row r="50" spans="2:27">
      <c r="B50" s="248" t="s">
        <v>110</v>
      </c>
      <c r="C50" s="339" t="str">
        <f>'RFPR cover'!$C$14</f>
        <v>£m 12/13</v>
      </c>
      <c r="D50" s="241">
        <f>'R4 - Totex'!D79</f>
        <v>2.9410510772183733</v>
      </c>
      <c r="E50" s="180">
        <f>'R4 - Totex'!E79</f>
        <v>2.9398680699164812</v>
      </c>
      <c r="F50" s="180">
        <f>'R4 - Totex'!F79</f>
        <v>2.8348809004701465</v>
      </c>
      <c r="G50" s="180">
        <f>'R4 - Totex'!G79</f>
        <v>3.0169952927851424</v>
      </c>
      <c r="H50" s="180">
        <f>'R4 - Totex'!H79</f>
        <v>2.7638608984720676</v>
      </c>
      <c r="I50" s="180">
        <f>'R4 - Totex'!I79</f>
        <v>2.7703815232428126</v>
      </c>
      <c r="J50" s="180">
        <f>'R4 - Totex'!J79</f>
        <v>2.6773375046056018</v>
      </c>
      <c r="K50" s="181">
        <f>'R4 - Totex'!K79</f>
        <v>2.7242961369218883</v>
      </c>
      <c r="M50" s="94">
        <f>SUM(D50:INDEX(D50:K50,0,MATCH('RFPR cover'!$C$7,$D$6:$K$6,0)))</f>
        <v>14.496656238862212</v>
      </c>
      <c r="N50" s="94">
        <f t="shared" ref="N50:N57" si="15">SUM(D50:K50)</f>
        <v>22.668671403632516</v>
      </c>
      <c r="Q50" s="515"/>
      <c r="R50" s="515"/>
      <c r="S50" s="515"/>
      <c r="T50" s="515"/>
      <c r="U50" s="515"/>
      <c r="V50" s="515"/>
      <c r="W50" s="515"/>
      <c r="X50" s="515"/>
      <c r="Y50" s="515"/>
      <c r="Z50" s="515"/>
      <c r="AA50" s="515"/>
    </row>
    <row r="51" spans="2:27">
      <c r="B51" s="249" t="str">
        <f>'R5 - Output Incentives'!B39</f>
        <v>Broad measure of customer service</v>
      </c>
      <c r="C51" s="339" t="str">
        <f>'RFPR cover'!$C$14</f>
        <v>£m 12/13</v>
      </c>
      <c r="D51" s="241">
        <f>'R5 - Output Incentives'!D39</f>
        <v>2.0995200000000009</v>
      </c>
      <c r="E51" s="180">
        <f>'R5 - Output Incentives'!E39</f>
        <v>1.9907370000000002</v>
      </c>
      <c r="F51" s="180">
        <f>'R5 - Output Incentives'!F39</f>
        <v>2.2315499999999999</v>
      </c>
      <c r="G51" s="180">
        <f>'R5 - Output Incentives'!G39</f>
        <v>2.1732300000000002</v>
      </c>
      <c r="H51" s="180">
        <f>'R5 - Output Incentives'!H39</f>
        <v>2.2011750000000001</v>
      </c>
      <c r="I51" s="180">
        <f>'R5 - Output Incentives'!I39</f>
        <v>2.2011750000000001</v>
      </c>
      <c r="J51" s="180">
        <f>'R5 - Output Incentives'!J39</f>
        <v>2.2011750000000001</v>
      </c>
      <c r="K51" s="181">
        <f>'R5 - Output Incentives'!K39</f>
        <v>2.2011750000000001</v>
      </c>
      <c r="M51" s="94">
        <f>SUM(D51:INDEX(D51:K51,0,MATCH('RFPR cover'!$C$7,$D$6:$K$6,0)))</f>
        <v>10.696212000000003</v>
      </c>
      <c r="N51" s="94">
        <f t="shared" si="15"/>
        <v>17.299737</v>
      </c>
      <c r="Q51" s="515"/>
      <c r="R51" s="515"/>
      <c r="S51" s="515"/>
      <c r="T51" s="515"/>
      <c r="U51" s="515"/>
      <c r="V51" s="515"/>
      <c r="W51" s="515"/>
      <c r="X51" s="515"/>
      <c r="Y51" s="515"/>
      <c r="Z51" s="515"/>
      <c r="AA51" s="515"/>
    </row>
    <row r="52" spans="2:27">
      <c r="B52" s="249" t="str">
        <f>'R5 - Output Incentives'!B40</f>
        <v>Interruptions-related quality of service</v>
      </c>
      <c r="C52" s="339" t="str">
        <f>'RFPR cover'!$C$14</f>
        <v>£m 12/13</v>
      </c>
      <c r="D52" s="241">
        <f>'R5 - Output Incentives'!D40</f>
        <v>3.4955884580880436</v>
      </c>
      <c r="E52" s="180">
        <f>'R5 - Output Incentives'!E40</f>
        <v>3.7934423193323394</v>
      </c>
      <c r="F52" s="180">
        <f>'R5 - Output Incentives'!F40</f>
        <v>2.0287275411603911</v>
      </c>
      <c r="G52" s="180">
        <f>'R5 - Output Incentives'!G40</f>
        <v>3.9285400000000004</v>
      </c>
      <c r="H52" s="180">
        <f>'R5 - Output Incentives'!H40</f>
        <v>3.757670000000001</v>
      </c>
      <c r="I52" s="180">
        <f>'R5 - Output Incentives'!I40</f>
        <v>2.8941126970329507</v>
      </c>
      <c r="J52" s="180">
        <f>'R5 - Output Incentives'!J40</f>
        <v>2.829012697032951</v>
      </c>
      <c r="K52" s="181">
        <f>'R5 - Output Incentives'!K40</f>
        <v>2.7758126970329511</v>
      </c>
      <c r="M52" s="94">
        <f>SUM(D52:INDEX(D52:K52,0,MATCH('RFPR cover'!$C$7,$D$6:$K$6,0)))</f>
        <v>17.003968318580775</v>
      </c>
      <c r="N52" s="94">
        <f t="shared" si="15"/>
        <v>25.502906409679628</v>
      </c>
      <c r="Q52" s="515"/>
      <c r="R52" s="515"/>
      <c r="S52" s="515"/>
      <c r="T52" s="515"/>
      <c r="U52" s="515"/>
      <c r="V52" s="515"/>
      <c r="W52" s="515"/>
      <c r="X52" s="515"/>
      <c r="Y52" s="515"/>
      <c r="Z52" s="515"/>
      <c r="AA52" s="515"/>
    </row>
    <row r="53" spans="2:27">
      <c r="B53" s="249" t="str">
        <f>'R5 - Output Incentives'!B41</f>
        <v>Incentive on connections engagement</v>
      </c>
      <c r="C53" s="339" t="str">
        <f>'RFPR cover'!$C$14</f>
        <v>£m 12/13</v>
      </c>
      <c r="D53" s="241">
        <f>'R5 - Output Incentives'!D41</f>
        <v>0</v>
      </c>
      <c r="E53" s="180">
        <f>'R5 - Output Incentives'!E41</f>
        <v>0</v>
      </c>
      <c r="F53" s="180">
        <f>'R5 - Output Incentives'!F41</f>
        <v>0</v>
      </c>
      <c r="G53" s="180">
        <f>'R5 - Output Incentives'!G41</f>
        <v>0</v>
      </c>
      <c r="H53" s="180">
        <f>'R5 - Output Incentives'!H41</f>
        <v>0</v>
      </c>
      <c r="I53" s="180">
        <f>'R5 - Output Incentives'!I41</f>
        <v>0</v>
      </c>
      <c r="J53" s="180">
        <f>'R5 - Output Incentives'!J41</f>
        <v>0</v>
      </c>
      <c r="K53" s="181">
        <f>'R5 - Output Incentives'!K41</f>
        <v>0</v>
      </c>
      <c r="M53" s="94">
        <f>SUM(D53:INDEX(D53:K53,0,MATCH('RFPR cover'!$C$7,$D$6:$K$6,0)))</f>
        <v>0</v>
      </c>
      <c r="N53" s="94">
        <f t="shared" si="15"/>
        <v>0</v>
      </c>
      <c r="Q53" s="515"/>
      <c r="R53" s="515"/>
      <c r="S53" s="515"/>
      <c r="T53" s="515"/>
      <c r="U53" s="515"/>
      <c r="V53" s="515"/>
      <c r="W53" s="515"/>
      <c r="X53" s="515"/>
      <c r="Y53" s="515"/>
      <c r="Z53" s="515"/>
      <c r="AA53" s="515"/>
    </row>
    <row r="54" spans="2:27">
      <c r="B54" s="249" t="str">
        <f>'R5 - Output Incentives'!B42</f>
        <v>Time to Connect Incentive</v>
      </c>
      <c r="C54" s="339" t="str">
        <f>'RFPR cover'!$C$14</f>
        <v>£m 12/13</v>
      </c>
      <c r="D54" s="241">
        <f>'R5 - Output Incentives'!D42</f>
        <v>0.37025100000000016</v>
      </c>
      <c r="E54" s="180">
        <f>'R5 - Output Incentives'!E42</f>
        <v>0.54106673318481424</v>
      </c>
      <c r="F54" s="180">
        <f>'R5 - Output Incentives'!F42</f>
        <v>0.60093900000000011</v>
      </c>
      <c r="G54" s="180">
        <f>'R5 - Output Incentives'!G42</f>
        <v>0.63666000000000011</v>
      </c>
      <c r="H54" s="180">
        <f>'R5 - Output Incentives'!H42</f>
        <v>0.64800000000000013</v>
      </c>
      <c r="I54" s="180">
        <f>'R5 - Output Incentives'!I42</f>
        <v>0.63916281026236743</v>
      </c>
      <c r="J54" s="180">
        <f>'R5 - Output Incentives'!J42</f>
        <v>0.63916281026236743</v>
      </c>
      <c r="K54" s="181">
        <f>'R5 - Output Incentives'!K42</f>
        <v>0.63916281026236743</v>
      </c>
      <c r="M54" s="94">
        <f>SUM(D54:INDEX(D54:K54,0,MATCH('RFPR cover'!$C$7,$D$6:$K$6,0)))</f>
        <v>2.7969167331848146</v>
      </c>
      <c r="N54" s="94">
        <f t="shared" si="15"/>
        <v>4.7144051639719162</v>
      </c>
      <c r="Q54" s="515"/>
      <c r="R54" s="515"/>
      <c r="S54" s="515"/>
      <c r="T54" s="515"/>
      <c r="U54" s="515"/>
      <c r="V54" s="515"/>
      <c r="W54" s="515"/>
      <c r="X54" s="515"/>
      <c r="Y54" s="515"/>
      <c r="Z54" s="515"/>
      <c r="AA54" s="515"/>
    </row>
    <row r="55" spans="2:27">
      <c r="B55" s="249" t="str">
        <f>'R5 - Output Incentives'!B43</f>
        <v>Losses discretionary reward scheme</v>
      </c>
      <c r="C55" s="339" t="str">
        <f>'RFPR cover'!$C$14</f>
        <v>£m 12/13</v>
      </c>
      <c r="D55" s="241">
        <f>'R5 - Output Incentives'!D43</f>
        <v>0</v>
      </c>
      <c r="E55" s="180">
        <f>'R5 - Output Incentives'!E43</f>
        <v>3.2400000000000005E-2</v>
      </c>
      <c r="F55" s="180">
        <f>'R5 - Output Incentives'!F43</f>
        <v>0</v>
      </c>
      <c r="G55" s="180">
        <f>'R5 - Output Incentives'!G43</f>
        <v>0</v>
      </c>
      <c r="H55" s="180">
        <f>'R5 - Output Incentives'!H43</f>
        <v>0</v>
      </c>
      <c r="I55" s="180">
        <f>'R5 - Output Incentives'!I43</f>
        <v>0</v>
      </c>
      <c r="J55" s="180">
        <f>'R5 - Output Incentives'!J43</f>
        <v>0</v>
      </c>
      <c r="K55" s="181">
        <f>'R5 - Output Incentives'!K43</f>
        <v>0</v>
      </c>
      <c r="M55" s="94">
        <f>SUM(D55:INDEX(D55:K55,0,MATCH('RFPR cover'!$C$7,$D$6:$K$6,0)))</f>
        <v>3.2400000000000005E-2</v>
      </c>
      <c r="N55" s="94">
        <f t="shared" si="15"/>
        <v>3.2400000000000005E-2</v>
      </c>
      <c r="Q55" s="515"/>
      <c r="R55" s="515"/>
      <c r="S55" s="515"/>
      <c r="T55" s="515"/>
      <c r="U55" s="515"/>
      <c r="V55" s="515"/>
      <c r="W55" s="515"/>
      <c r="X55" s="515"/>
      <c r="Y55" s="515"/>
      <c r="Z55" s="515"/>
      <c r="AA55" s="515"/>
    </row>
    <row r="56" spans="2:27">
      <c r="B56" s="246" t="s">
        <v>499</v>
      </c>
      <c r="C56" s="339" t="str">
        <f>'RFPR cover'!$C$14</f>
        <v>£m 12/13</v>
      </c>
      <c r="D56" s="241">
        <f>-'R6 - Innovation'!D28</f>
        <v>0.71666805354301499</v>
      </c>
      <c r="E56" s="180">
        <f>-'R6 - Innovation'!E28</f>
        <v>-7.8096628174718491E-2</v>
      </c>
      <c r="F56" s="180">
        <f>-'R6 - Innovation'!F28</f>
        <v>0.292764832234784</v>
      </c>
      <c r="G56" s="180">
        <f>-'R6 - Innovation'!G28</f>
        <v>-6.1715431615062051E-2</v>
      </c>
      <c r="H56" s="180">
        <f>-'R6 - Innovation'!H28</f>
        <v>-9.130454883499288E-2</v>
      </c>
      <c r="I56" s="180">
        <f>-'R6 - Innovation'!I28</f>
        <v>-9.9548724397246838E-2</v>
      </c>
      <c r="J56" s="180">
        <f>-'R6 - Innovation'!J28</f>
        <v>-8.9884486878030634E-2</v>
      </c>
      <c r="K56" s="181">
        <f>-'R6 - Innovation'!K28</f>
        <v>-7.6512606738348157E-2</v>
      </c>
      <c r="M56" s="94">
        <f>SUM(D56:INDEX(D56:K56,0,MATCH('RFPR cover'!$C$7,$D$6:$K$6,0)))</f>
        <v>0.77831627715302554</v>
      </c>
      <c r="N56" s="94">
        <f t="shared" si="15"/>
        <v>0.51237045913939994</v>
      </c>
      <c r="Q56" s="515"/>
      <c r="R56" s="515"/>
      <c r="S56" s="515"/>
      <c r="T56" s="515"/>
      <c r="U56" s="515"/>
      <c r="V56" s="515"/>
      <c r="W56" s="515"/>
      <c r="X56" s="515"/>
      <c r="Y56" s="515"/>
      <c r="Z56" s="515"/>
      <c r="AA56" s="515"/>
    </row>
    <row r="57" spans="2:27">
      <c r="B57" s="246" t="s">
        <v>35</v>
      </c>
      <c r="C57" s="339" t="str">
        <f>'RFPR cover'!$C$14</f>
        <v>£m 12/13</v>
      </c>
      <c r="D57" s="242">
        <f>-'R13 - Other Activities '!D8</f>
        <v>-4.5269491545021344E-5</v>
      </c>
      <c r="E57" s="242">
        <f>-'R13 - Other Activities '!E8</f>
        <v>0</v>
      </c>
      <c r="F57" s="242">
        <f>-'R13 - Other Activities '!F8</f>
        <v>-2.162760814527204E-5</v>
      </c>
      <c r="G57" s="242">
        <f>-'R13 - Other Activities '!G8</f>
        <v>-2.0986355838876579E-5</v>
      </c>
      <c r="H57" s="242">
        <f>-'R13 - Other Activities '!H8</f>
        <v>-2.0456790484513596E-5</v>
      </c>
      <c r="I57" s="242">
        <f>-'R13 - Other Activities '!I8</f>
        <v>-2.0114838234526923E-5</v>
      </c>
      <c r="J57" s="242">
        <f>-'R13 - Other Activities '!J8</f>
        <v>-1.9696292028912526E-5</v>
      </c>
      <c r="K57" s="242">
        <f>-'R13 - Other Activities '!K8</f>
        <v>-1.9201844532208172E-5</v>
      </c>
      <c r="M57" s="94">
        <f>SUM(D57:INDEX(D57:K57,0,MATCH('RFPR cover'!$C$7,$D$6:$K$6,0)))</f>
        <v>-1.0834024601368356E-4</v>
      </c>
      <c r="N57" s="94">
        <f t="shared" si="15"/>
        <v>-1.6735322080933118E-4</v>
      </c>
      <c r="Q57" s="515"/>
      <c r="R57" s="515"/>
      <c r="S57" s="515"/>
      <c r="T57" s="515"/>
      <c r="U57" s="515"/>
      <c r="V57" s="515"/>
      <c r="W57" s="515"/>
      <c r="X57" s="515"/>
      <c r="Y57" s="515"/>
      <c r="Z57" s="515"/>
      <c r="AA57" s="515"/>
    </row>
    <row r="58" spans="2:27">
      <c r="B58" s="247" t="s">
        <v>103</v>
      </c>
      <c r="C58" s="339" t="str">
        <f>'RFPR cover'!$C$14</f>
        <v>£m 12/13</v>
      </c>
      <c r="D58" s="243">
        <f t="shared" ref="D58:K58" si="16">SUM(D48:D57)</f>
        <v>37.523620951080936</v>
      </c>
      <c r="E58" s="142">
        <f t="shared" si="16"/>
        <v>41.544272033991298</v>
      </c>
      <c r="F58" s="142">
        <f t="shared" si="16"/>
        <v>11.733411061775513</v>
      </c>
      <c r="G58" s="142">
        <f t="shared" si="16"/>
        <v>40.963735982960031</v>
      </c>
      <c r="H58" s="142">
        <f t="shared" si="16"/>
        <v>41.319915418513325</v>
      </c>
      <c r="I58" s="142">
        <f t="shared" si="16"/>
        <v>34.175068702647849</v>
      </c>
      <c r="J58" s="142">
        <f t="shared" si="16"/>
        <v>25.228977518880342</v>
      </c>
      <c r="K58" s="143">
        <f t="shared" si="16"/>
        <v>28.167423460755987</v>
      </c>
      <c r="M58" s="141">
        <f>SUM(M48:M57)</f>
        <v>173.0849554483211</v>
      </c>
      <c r="N58" s="143">
        <f>SUM(N48:N57)</f>
        <v>260.65642513060527</v>
      </c>
      <c r="Q58" s="515"/>
      <c r="R58" s="515"/>
      <c r="S58" s="515"/>
      <c r="T58" s="515"/>
      <c r="U58" s="515"/>
      <c r="V58" s="515"/>
      <c r="W58" s="515"/>
      <c r="X58" s="515"/>
      <c r="Y58" s="515"/>
      <c r="Z58" s="515"/>
      <c r="AA58" s="515"/>
    </row>
    <row r="59" spans="2:27">
      <c r="B59" s="246" t="s">
        <v>438</v>
      </c>
      <c r="C59" s="339" t="str">
        <f>'RFPR cover'!$C$14</f>
        <v>£m 12/13</v>
      </c>
      <c r="D59" s="241">
        <f>'R7 - Financing'!D88+'R10 - Tax'!D89</f>
        <v>-12.143928098152106</v>
      </c>
      <c r="E59" s="241">
        <f>'R7 - Financing'!E88+'R10 - Tax'!E89</f>
        <v>-6.9368811480125077</v>
      </c>
      <c r="F59" s="241">
        <f>'R7 - Financing'!F88+'R10 - Tax'!F89</f>
        <v>-0.93189831314180471</v>
      </c>
      <c r="G59" s="241">
        <f>'R7 - Financing'!G88+'R10 - Tax'!G89</f>
        <v>-4.512456442749345</v>
      </c>
      <c r="H59" s="241">
        <f>'R7 - Financing'!H88+'R10 - Tax'!H89</f>
        <v>-8.6005821254574606</v>
      </c>
      <c r="I59" s="241">
        <f>'R7 - Financing'!I88+'R10 - Tax'!I89</f>
        <v>-14.797309940179755</v>
      </c>
      <c r="J59" s="241">
        <f>'R7 - Financing'!J88+'R10 - Tax'!J89</f>
        <v>-6.6512419926597026</v>
      </c>
      <c r="K59" s="241">
        <f>'R7 - Financing'!K88+'R10 - Tax'!K89</f>
        <v>-6.1587039164975685</v>
      </c>
      <c r="M59" s="94">
        <f>SUM(D59:INDEX(D59:K59,0,MATCH('RFPR cover'!$C$7,$D$6:$K$6,0)))</f>
        <v>-33.125746127513224</v>
      </c>
      <c r="N59" s="94">
        <f>SUM(D59:K59)</f>
        <v>-60.733001976850261</v>
      </c>
      <c r="Q59" s="515"/>
      <c r="R59" s="515"/>
      <c r="S59" s="515"/>
      <c r="T59" s="515"/>
      <c r="U59" s="515"/>
      <c r="V59" s="515"/>
      <c r="W59" s="515"/>
      <c r="X59" s="515"/>
      <c r="Y59" s="515"/>
      <c r="Z59" s="515"/>
      <c r="AA59" s="515"/>
    </row>
    <row r="60" spans="2:27">
      <c r="B60" s="246" t="s">
        <v>433</v>
      </c>
      <c r="C60" s="339" t="str">
        <f>'RFPR cover'!$C$14</f>
        <v>£m 12/13</v>
      </c>
      <c r="D60" s="241">
        <f>'R7 - Financing'!D90+'R10 - Tax'!D90</f>
        <v>0.59033921861669691</v>
      </c>
      <c r="E60" s="241">
        <f>'R7 - Financing'!E90+'R10 - Tax'!E90</f>
        <v>0.62520453701080281</v>
      </c>
      <c r="F60" s="241">
        <f>'R7 - Financing'!F90+'R10 - Tax'!F90</f>
        <v>0.78512057230966703</v>
      </c>
      <c r="G60" s="241">
        <f>'R7 - Financing'!G90+'R10 - Tax'!G90</f>
        <v>1.123992887547647</v>
      </c>
      <c r="H60" s="241">
        <f>'R7 - Financing'!H90+'R10 - Tax'!H90</f>
        <v>1.7681103360562802</v>
      </c>
      <c r="I60" s="241">
        <f>'R7 - Financing'!I90+'R10 - Tax'!I90</f>
        <v>1.8071353172421971</v>
      </c>
      <c r="J60" s="241">
        <f>'R7 - Financing'!J90+'R10 - Tax'!J90</f>
        <v>0.76645017380281488</v>
      </c>
      <c r="K60" s="241">
        <f>'R7 - Financing'!K90+'R10 - Tax'!K90</f>
        <v>0.99002182596509658</v>
      </c>
      <c r="M60" s="94">
        <f>SUM(D60:INDEX(D60:K60,0,MATCH('RFPR cover'!$C$7,$D$6:$K$6,0)))</f>
        <v>4.8927675515410947</v>
      </c>
      <c r="N60" s="94">
        <f>SUM(D60:K60)</f>
        <v>8.4563748685512028</v>
      </c>
      <c r="Q60" s="515"/>
      <c r="R60" s="515"/>
      <c r="S60" s="515"/>
      <c r="T60" s="515"/>
      <c r="U60" s="515"/>
      <c r="V60" s="515"/>
      <c r="W60" s="515"/>
      <c r="X60" s="515"/>
      <c r="Y60" s="515"/>
      <c r="Z60" s="515"/>
      <c r="AA60" s="515"/>
    </row>
    <row r="61" spans="2:27">
      <c r="B61" s="246" t="s">
        <v>439</v>
      </c>
      <c r="C61" s="339" t="str">
        <f>'RFPR cover'!$C$14</f>
        <v>£m 12/13</v>
      </c>
      <c r="D61" s="241">
        <f>'R10 - Tax'!D82-'R10 - Tax'!D89</f>
        <v>1.502001044811534</v>
      </c>
      <c r="E61" s="241">
        <f>'R10 - Tax'!E82-'R10 - Tax'!E89</f>
        <v>6.0096080866899682</v>
      </c>
      <c r="F61" s="241">
        <f>'R10 - Tax'!F82-'R10 - Tax'!F89</f>
        <v>5.2907667128813118</v>
      </c>
      <c r="G61" s="241">
        <f>'R10 - Tax'!G82-'R10 - Tax'!G89</f>
        <v>4.2412327110025148</v>
      </c>
      <c r="H61" s="241">
        <f>'R10 - Tax'!H82-'R10 - Tax'!H89</f>
        <v>1.7917849511042481</v>
      </c>
      <c r="I61" s="241">
        <f>'R10 - Tax'!I82-'R10 - Tax'!I89</f>
        <v>-4.9516033424848889</v>
      </c>
      <c r="J61" s="241">
        <f>'R10 - Tax'!J82-'R10 - Tax'!J89</f>
        <v>-6.4172724413877704</v>
      </c>
      <c r="K61" s="241">
        <f>'R10 - Tax'!K82-'R10 - Tax'!K89</f>
        <v>-5.8563202301444628</v>
      </c>
      <c r="M61" s="94">
        <f>SUM(D61:INDEX(D61:K61,0,MATCH('RFPR cover'!$C$7,$D$6:$K$6,0)))</f>
        <v>18.835393506489577</v>
      </c>
      <c r="N61" s="94">
        <f>SUM(D61:K61)</f>
        <v>1.6101974924724551</v>
      </c>
      <c r="Q61" s="515"/>
      <c r="R61" s="515"/>
      <c r="S61" s="515"/>
      <c r="T61" s="515"/>
      <c r="U61" s="515"/>
      <c r="V61" s="515"/>
      <c r="W61" s="515"/>
      <c r="X61" s="515"/>
      <c r="Y61" s="515"/>
      <c r="Z61" s="515"/>
      <c r="AA61" s="515"/>
    </row>
    <row r="62" spans="2:27">
      <c r="B62" s="246" t="s">
        <v>434</v>
      </c>
      <c r="C62" s="339" t="str">
        <f>'RFPR cover'!$C$14</f>
        <v>£m 12/13</v>
      </c>
      <c r="D62" s="241">
        <f>'R10 - Tax'!D84-'R10 - Tax'!D90</f>
        <v>4.4408920985006262E-16</v>
      </c>
      <c r="E62" s="241">
        <f>'R10 - Tax'!E84-'R10 - Tax'!E90</f>
        <v>2.2204460492503131E-16</v>
      </c>
      <c r="F62" s="241">
        <f>'R10 - Tax'!F84-'R10 - Tax'!F90</f>
        <v>-7.7715611723760958E-16</v>
      </c>
      <c r="G62" s="241">
        <f>'R10 - Tax'!G84-'R10 - Tax'!G90</f>
        <v>-6.6613381477509392E-16</v>
      </c>
      <c r="H62" s="241">
        <f>'R10 - Tax'!H84-'R10 - Tax'!H90</f>
        <v>0</v>
      </c>
      <c r="I62" s="241">
        <f>'R10 - Tax'!I84-'R10 - Tax'!I90</f>
        <v>-1.3322676295501878E-15</v>
      </c>
      <c r="J62" s="241">
        <f>'R10 - Tax'!J84-'R10 - Tax'!J90</f>
        <v>6.6613381477509392E-16</v>
      </c>
      <c r="K62" s="241">
        <f>'R10 - Tax'!K84-'R10 - Tax'!K90</f>
        <v>2.2204460492503131E-16</v>
      </c>
      <c r="M62" s="94">
        <f>SUM(D62:INDEX(D62:K62,0,MATCH('RFPR cover'!$C$7,$D$6:$K$6,0)))</f>
        <v>-7.7715611723760958E-16</v>
      </c>
      <c r="N62" s="94">
        <f>SUM(D62:K62)</f>
        <v>-1.2212453270876722E-15</v>
      </c>
      <c r="Q62" s="515"/>
      <c r="R62" s="515"/>
      <c r="S62" s="515"/>
      <c r="T62" s="515"/>
      <c r="U62" s="515"/>
      <c r="V62" s="515"/>
      <c r="W62" s="515"/>
      <c r="X62" s="515"/>
      <c r="Y62" s="515"/>
      <c r="Z62" s="515"/>
      <c r="AA62" s="515"/>
    </row>
    <row r="63" spans="2:27">
      <c r="B63" s="247" t="s">
        <v>104</v>
      </c>
      <c r="C63" s="339" t="str">
        <f>'RFPR cover'!$C$14</f>
        <v>£m 12/13</v>
      </c>
      <c r="D63" s="244">
        <f>SUM(D58:D62)</f>
        <v>27.472033116357061</v>
      </c>
      <c r="E63" s="145">
        <f t="shared" ref="E63:K63" si="17">SUM(E58:E62)</f>
        <v>41.242203509679555</v>
      </c>
      <c r="F63" s="145">
        <f t="shared" si="17"/>
        <v>16.877400033824689</v>
      </c>
      <c r="G63" s="145">
        <f t="shared" si="17"/>
        <v>41.816505138760846</v>
      </c>
      <c r="H63" s="145">
        <f t="shared" si="17"/>
        <v>36.279228580216397</v>
      </c>
      <c r="I63" s="145">
        <f t="shared" si="17"/>
        <v>16.233290737225403</v>
      </c>
      <c r="J63" s="145">
        <f t="shared" si="17"/>
        <v>12.926913258635686</v>
      </c>
      <c r="K63" s="146">
        <f t="shared" si="17"/>
        <v>17.142421140079055</v>
      </c>
      <c r="M63" s="144">
        <f>SUM(M58:M62)</f>
        <v>163.68737037883852</v>
      </c>
      <c r="N63" s="146">
        <f>SUM(N58:N62)</f>
        <v>209.98999551477866</v>
      </c>
      <c r="Q63" s="515"/>
      <c r="R63" s="515"/>
      <c r="S63" s="515"/>
      <c r="T63" s="515"/>
      <c r="U63" s="515"/>
      <c r="V63" s="515"/>
      <c r="W63" s="515"/>
      <c r="X63" s="515"/>
      <c r="Y63" s="515"/>
      <c r="Z63" s="515"/>
      <c r="AA63" s="515"/>
    </row>
    <row r="64" spans="2:27">
      <c r="B64" s="246"/>
      <c r="D64" s="417"/>
      <c r="Q64" s="515"/>
      <c r="R64" s="515"/>
      <c r="S64" s="515"/>
      <c r="T64" s="515"/>
      <c r="U64" s="515"/>
      <c r="V64" s="515"/>
      <c r="W64" s="515"/>
      <c r="X64" s="515"/>
      <c r="Y64" s="515"/>
      <c r="Z64" s="515"/>
      <c r="AA64" s="515"/>
    </row>
    <row r="65" spans="2:27">
      <c r="B65" s="246" t="s">
        <v>232</v>
      </c>
      <c r="C65" s="339" t="str">
        <f>'RFPR cover'!$C$14</f>
        <v>£m 12/13</v>
      </c>
      <c r="D65" s="240">
        <f>'R9 - RAV'!D46</f>
        <v>293.74831735321192</v>
      </c>
      <c r="E65" s="178">
        <f>'R9 - RAV'!E46</f>
        <v>304.14706017844418</v>
      </c>
      <c r="F65" s="178">
        <f>'R9 - RAV'!F46</f>
        <v>311.2972521200499</v>
      </c>
      <c r="G65" s="178">
        <f>'R9 - RAV'!G46</f>
        <v>318.90834157169263</v>
      </c>
      <c r="H65" s="178">
        <f>'R9 - RAV'!H46</f>
        <v>329.85584393312405</v>
      </c>
      <c r="I65" s="178">
        <f>'R9 - RAV'!I46</f>
        <v>340.9624435189491</v>
      </c>
      <c r="J65" s="178">
        <f>'R9 - RAV'!J46</f>
        <v>352.9385668941182</v>
      </c>
      <c r="K65" s="179">
        <f>'R9 - RAV'!K46</f>
        <v>365.41477857037853</v>
      </c>
      <c r="Q65" s="515"/>
      <c r="R65" s="515"/>
      <c r="S65" s="515"/>
      <c r="T65" s="515"/>
      <c r="U65" s="515"/>
      <c r="V65" s="515"/>
      <c r="W65" s="515"/>
      <c r="X65" s="515"/>
      <c r="Y65" s="515"/>
      <c r="Z65" s="515"/>
      <c r="AA65" s="515"/>
    </row>
    <row r="66" spans="2:27">
      <c r="B66" s="246" t="s">
        <v>107</v>
      </c>
      <c r="C66" s="339" t="str">
        <f>'RFPR cover'!$C$14</f>
        <v>£m 12/13</v>
      </c>
      <c r="D66" s="245">
        <f>'R8 - Net Debt'!D62</f>
        <v>307.58633342750767</v>
      </c>
      <c r="E66" s="182">
        <f>'R8 - Net Debt'!E62</f>
        <v>324.10822493132963</v>
      </c>
      <c r="F66" s="182">
        <f>'R8 - Net Debt'!F62</f>
        <v>351.36682021222543</v>
      </c>
      <c r="G66" s="182">
        <f>'R8 - Net Debt'!G62</f>
        <v>367.58697270808909</v>
      </c>
      <c r="H66" s="182">
        <f>'R8 - Net Debt'!H62</f>
        <v>395.73739188250681</v>
      </c>
      <c r="I66" s="182">
        <f>'R8 - Net Debt'!I62</f>
        <v>397.08900876353903</v>
      </c>
      <c r="J66" s="182">
        <f>'R8 - Net Debt'!J62</f>
        <v>399.71759486762676</v>
      </c>
      <c r="K66" s="183">
        <f>'R8 - Net Debt'!K62</f>
        <v>442.75276854558837</v>
      </c>
      <c r="Q66" s="515"/>
      <c r="R66" s="515"/>
      <c r="S66" s="515"/>
      <c r="T66" s="515"/>
      <c r="U66" s="515"/>
      <c r="V66" s="515"/>
      <c r="W66" s="515"/>
      <c r="X66" s="515"/>
      <c r="Y66" s="515"/>
      <c r="Z66" s="515"/>
      <c r="AA66" s="515"/>
    </row>
  </sheetData>
  <conditionalFormatting sqref="D5:K6">
    <cfRule type="expression" dxfId="82"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64.36328125" style="212" customWidth="1"/>
    <col min="3" max="3" width="13.36328125" style="135" customWidth="1"/>
    <col min="4" max="11" width="11.08984375" customWidth="1"/>
    <col min="12" max="12" width="5" style="42" customWidth="1"/>
  </cols>
  <sheetData>
    <row r="1" spans="1:12" s="31" customFormat="1" ht="21">
      <c r="A1" s="915" t="s">
        <v>119</v>
      </c>
      <c r="B1" s="916"/>
      <c r="C1" s="274"/>
      <c r="D1" s="273"/>
      <c r="E1" s="273"/>
      <c r="F1" s="273"/>
      <c r="G1" s="273"/>
      <c r="H1" s="273"/>
      <c r="I1" s="273"/>
      <c r="J1" s="273"/>
      <c r="K1" s="273"/>
      <c r="L1" s="275"/>
    </row>
    <row r="2" spans="1:12" s="31" customFormat="1" ht="21">
      <c r="A2" s="904" t="str">
        <f>'RFPR cover'!C5</f>
        <v>WPD-SWALES</v>
      </c>
      <c r="B2" s="917"/>
      <c r="C2" s="133"/>
      <c r="D2" s="29"/>
      <c r="E2" s="29"/>
      <c r="F2" s="29"/>
      <c r="G2" s="29"/>
      <c r="H2" s="29"/>
      <c r="I2" s="27"/>
      <c r="J2" s="27"/>
      <c r="K2" s="27"/>
      <c r="L2" s="122"/>
    </row>
    <row r="3" spans="1:12" s="31" customFormat="1" ht="21">
      <c r="A3" s="907">
        <f>'RFPR cover'!C7</f>
        <v>2020</v>
      </c>
      <c r="B3" s="918"/>
      <c r="C3" s="276"/>
      <c r="D3" s="259"/>
      <c r="E3" s="259"/>
      <c r="F3" s="259"/>
      <c r="G3" s="259"/>
      <c r="H3" s="259"/>
      <c r="I3" s="254"/>
      <c r="J3" s="254"/>
      <c r="K3" s="254"/>
      <c r="L3" s="260"/>
    </row>
    <row r="4" spans="1:12" s="35" customFormat="1" ht="12.75" customHeight="1">
      <c r="B4" s="224"/>
      <c r="C4" s="137"/>
      <c r="L4" s="58"/>
    </row>
    <row r="5" spans="1:12" s="2" customFormat="1">
      <c r="B5" s="128"/>
      <c r="C5" s="135"/>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c r="L5" s="54"/>
    </row>
    <row r="6" spans="1:12" s="2" customFormat="1">
      <c r="B6" s="128"/>
      <c r="C6" s="135"/>
      <c r="D6" s="89">
        <f>'RFPR cover'!$C$13</f>
        <v>2016</v>
      </c>
      <c r="E6" s="90">
        <f>D6+1</f>
        <v>2017</v>
      </c>
      <c r="F6" s="90">
        <f t="shared" ref="F6:K6" si="0">E6+1</f>
        <v>2018</v>
      </c>
      <c r="G6" s="90">
        <f t="shared" si="0"/>
        <v>2019</v>
      </c>
      <c r="H6" s="90">
        <f t="shared" si="0"/>
        <v>2020</v>
      </c>
      <c r="I6" s="90">
        <f t="shared" si="0"/>
        <v>2021</v>
      </c>
      <c r="J6" s="90">
        <f t="shared" si="0"/>
        <v>2022</v>
      </c>
      <c r="K6" s="90">
        <f t="shared" si="0"/>
        <v>2023</v>
      </c>
      <c r="L6" s="54"/>
    </row>
    <row r="7" spans="1:12" s="2" customFormat="1">
      <c r="B7" s="762"/>
      <c r="C7" s="151"/>
      <c r="D7" s="50"/>
      <c r="E7" s="50"/>
      <c r="F7" s="50"/>
      <c r="G7" s="50"/>
      <c r="H7" s="50"/>
      <c r="I7" s="50"/>
      <c r="J7" s="50"/>
      <c r="K7" s="50"/>
      <c r="L7" s="58"/>
    </row>
    <row r="8" spans="1:12" s="2" customFormat="1">
      <c r="B8" s="763" t="s">
        <v>155</v>
      </c>
      <c r="C8" s="149"/>
      <c r="D8" s="81"/>
      <c r="E8" s="81"/>
      <c r="F8" s="81"/>
      <c r="G8" s="81"/>
      <c r="H8" s="81"/>
      <c r="I8" s="81"/>
      <c r="J8" s="81"/>
      <c r="K8" s="81"/>
      <c r="L8" s="271"/>
    </row>
    <row r="9" spans="1:12" s="35" customFormat="1">
      <c r="A9" s="2"/>
      <c r="B9" s="764"/>
      <c r="C9" s="137"/>
      <c r="L9" s="58"/>
    </row>
    <row r="10" spans="1:12" s="2" customFormat="1">
      <c r="B10" s="765" t="s">
        <v>386</v>
      </c>
      <c r="C10" s="150" t="str">
        <f>'RFPR cover'!$C$14</f>
        <v>£m 12/13</v>
      </c>
      <c r="D10" s="591">
        <v>198.7</v>
      </c>
      <c r="E10" s="592">
        <v>203.6</v>
      </c>
      <c r="F10" s="592">
        <v>208.2</v>
      </c>
      <c r="G10" s="592">
        <v>210.3</v>
      </c>
      <c r="H10" s="592">
        <v>212.4</v>
      </c>
      <c r="I10" s="592"/>
      <c r="J10" s="592"/>
      <c r="K10" s="592"/>
      <c r="L10" s="58"/>
    </row>
    <row r="11" spans="1:12" s="2" customFormat="1">
      <c r="B11" s="765" t="s">
        <v>387</v>
      </c>
      <c r="C11" s="150" t="str">
        <f>'RFPR cover'!$C$14</f>
        <v>£m 12/13</v>
      </c>
      <c r="D11" s="593">
        <v>0</v>
      </c>
      <c r="E11" s="594">
        <v>-0.1</v>
      </c>
      <c r="F11" s="594">
        <v>-2.9</v>
      </c>
      <c r="G11" s="594">
        <v>-4.8</v>
      </c>
      <c r="H11" s="594">
        <v>-5.0999999999999996</v>
      </c>
      <c r="I11" s="594"/>
      <c r="J11" s="594"/>
      <c r="K11" s="594"/>
      <c r="L11" s="58"/>
    </row>
    <row r="12" spans="1:12" s="2" customFormat="1">
      <c r="B12" s="765" t="s">
        <v>147</v>
      </c>
      <c r="C12" s="150" t="str">
        <f>'RFPR cover'!$C$14</f>
        <v>£m 12/13</v>
      </c>
      <c r="D12" s="593">
        <v>0</v>
      </c>
      <c r="E12" s="594">
        <v>0</v>
      </c>
      <c r="F12" s="594">
        <v>-4.3816203582429871</v>
      </c>
      <c r="G12" s="594">
        <v>-0.80136571156188618</v>
      </c>
      <c r="H12" s="594">
        <v>0.51160452926113109</v>
      </c>
      <c r="I12" s="594"/>
      <c r="J12" s="594"/>
      <c r="K12" s="594"/>
      <c r="L12" s="58"/>
    </row>
    <row r="13" spans="1:12" s="2" customFormat="1">
      <c r="B13" s="765" t="s">
        <v>375</v>
      </c>
      <c r="C13" s="151" t="s">
        <v>127</v>
      </c>
      <c r="D13" s="815">
        <v>1.0820000000000001</v>
      </c>
      <c r="E13" s="816">
        <v>1.087</v>
      </c>
      <c r="F13" s="816">
        <v>1.121</v>
      </c>
      <c r="G13" s="816">
        <v>1.159</v>
      </c>
      <c r="H13" s="816">
        <v>1.198</v>
      </c>
      <c r="I13" s="816"/>
      <c r="J13" s="816"/>
      <c r="K13" s="816"/>
      <c r="L13" s="58"/>
    </row>
    <row r="14" spans="1:12" s="2" customFormat="1">
      <c r="B14" s="766" t="s">
        <v>196</v>
      </c>
      <c r="C14" s="265" t="s">
        <v>128</v>
      </c>
      <c r="D14" s="626">
        <f>SUM(D10:D12)*D13</f>
        <v>214.99340000000001</v>
      </c>
      <c r="E14" s="627">
        <f t="shared" ref="E14:K14" si="1">SUM(E10:E12)*E13</f>
        <v>221.2045</v>
      </c>
      <c r="F14" s="627">
        <f t="shared" si="1"/>
        <v>225.22950357840958</v>
      </c>
      <c r="G14" s="627">
        <f t="shared" si="1"/>
        <v>237.24571714029977</v>
      </c>
      <c r="H14" s="627">
        <f t="shared" si="1"/>
        <v>248.95830222605483</v>
      </c>
      <c r="I14" s="627">
        <f t="shared" si="1"/>
        <v>0</v>
      </c>
      <c r="J14" s="627">
        <f t="shared" si="1"/>
        <v>0</v>
      </c>
      <c r="K14" s="628">
        <f t="shared" si="1"/>
        <v>0</v>
      </c>
      <c r="L14" s="58"/>
    </row>
    <row r="15" spans="1:12" s="2" customFormat="1">
      <c r="B15" s="212" t="s">
        <v>131</v>
      </c>
      <c r="C15" s="151" t="s">
        <v>128</v>
      </c>
      <c r="D15" s="595">
        <f>'R5 - Output Incentives'!D102</f>
        <v>6.3768655592999988</v>
      </c>
      <c r="E15" s="596">
        <f>'R5 - Output Incentives'!E102</f>
        <v>6.3824136960794364</v>
      </c>
      <c r="F15" s="597">
        <f>'R5 - Output Incentives'!F102</f>
        <v>8.489102325617857</v>
      </c>
      <c r="G15" s="597">
        <f>'R5 - Output Incentives'!G102</f>
        <v>9.2338242356814355</v>
      </c>
      <c r="H15" s="597">
        <f>'R5 - Output Incentives'!H102</f>
        <v>7.1483228476707845</v>
      </c>
      <c r="I15" s="597">
        <f>'R5 - Output Incentives'!I102</f>
        <v>10.277975663082699</v>
      </c>
      <c r="J15" s="597">
        <f>'R5 - Output Incentives'!J102</f>
        <v>10.263001004170777</v>
      </c>
      <c r="K15" s="598">
        <f>'R5 - Output Incentives'!K102</f>
        <v>9.0186880322115037</v>
      </c>
      <c r="L15" s="58"/>
    </row>
    <row r="16" spans="1:12" s="2" customFormat="1">
      <c r="B16" s="767" t="s">
        <v>388</v>
      </c>
      <c r="C16" s="151" t="s">
        <v>128</v>
      </c>
      <c r="D16" s="593">
        <v>0</v>
      </c>
      <c r="E16" s="594">
        <v>0</v>
      </c>
      <c r="F16" s="594">
        <v>3.7551331511570671</v>
      </c>
      <c r="G16" s="594">
        <v>1.6318803380130085</v>
      </c>
      <c r="H16" s="594">
        <v>-7.7473457513862014</v>
      </c>
      <c r="I16" s="594"/>
      <c r="J16" s="594"/>
      <c r="K16" s="594"/>
      <c r="L16" s="58"/>
    </row>
    <row r="17" spans="2:12" s="2" customFormat="1">
      <c r="B17" s="767" t="s">
        <v>134</v>
      </c>
      <c r="C17" s="151" t="s">
        <v>128</v>
      </c>
      <c r="D17" s="595">
        <f>'R6 - Innovation'!D12</f>
        <v>0.21694374899999994</v>
      </c>
      <c r="E17" s="596">
        <f>'R6 - Innovation'!E12</f>
        <v>0.76123361700000014</v>
      </c>
      <c r="F17" s="597">
        <f>'R6 - Innovation'!F12</f>
        <v>1.0520399999999999</v>
      </c>
      <c r="G17" s="597">
        <f>'R6 - Innovation'!G12</f>
        <v>0.64313999999999993</v>
      </c>
      <c r="H17" s="597">
        <f>'R6 - Innovation'!H12</f>
        <v>0.97612109999999996</v>
      </c>
      <c r="I17" s="597">
        <f>'R6 - Innovation'!I12</f>
        <v>1.082350540026116</v>
      </c>
      <c r="J17" s="597">
        <f>'R6 - Innovation'!J12</f>
        <v>0.9980425377207871</v>
      </c>
      <c r="K17" s="598">
        <f>'R6 - Innovation'!K12</f>
        <v>0.87144269216477599</v>
      </c>
      <c r="L17" s="58"/>
    </row>
    <row r="18" spans="2:12" s="2" customFormat="1">
      <c r="B18" s="767" t="s">
        <v>133</v>
      </c>
      <c r="C18" s="151" t="s">
        <v>128</v>
      </c>
      <c r="D18" s="595">
        <f>'R6 - Innovation'!D17</f>
        <v>0.77248340000000004</v>
      </c>
      <c r="E18" s="596">
        <f>'R6 - Innovation'!E17</f>
        <v>4.1034769999999998E-2</v>
      </c>
      <c r="F18" s="597">
        <f>'R6 - Innovation'!F17</f>
        <v>0.11890733000000001</v>
      </c>
      <c r="G18" s="597">
        <f>'R6 - Innovation'!G17</f>
        <v>0.32313185999999999</v>
      </c>
      <c r="H18" s="597">
        <f>'R6 - Innovation'!H17</f>
        <v>4.4316729999999999E-2</v>
      </c>
      <c r="I18" s="597">
        <f>'R6 - Innovation'!I17</f>
        <v>0</v>
      </c>
      <c r="J18" s="597">
        <f>'R6 - Innovation'!J17</f>
        <v>0</v>
      </c>
      <c r="K18" s="598">
        <f>'R6 - Innovation'!K17</f>
        <v>0</v>
      </c>
      <c r="L18" s="58"/>
    </row>
    <row r="19" spans="2:12" s="2" customFormat="1">
      <c r="B19" s="937" t="s">
        <v>584</v>
      </c>
      <c r="C19" s="151" t="s">
        <v>128</v>
      </c>
      <c r="D19" s="593">
        <v>-6.5175072810179859</v>
      </c>
      <c r="E19" s="594">
        <v>-1.3695501806035144</v>
      </c>
      <c r="F19" s="594">
        <v>0</v>
      </c>
      <c r="G19" s="594">
        <v>0</v>
      </c>
      <c r="H19" s="594">
        <v>0</v>
      </c>
      <c r="I19" s="594"/>
      <c r="J19" s="594"/>
      <c r="K19" s="594"/>
      <c r="L19" s="58"/>
    </row>
    <row r="20" spans="2:12" s="2" customFormat="1">
      <c r="B20" s="539" t="s">
        <v>243</v>
      </c>
      <c r="C20" s="151" t="s">
        <v>128</v>
      </c>
      <c r="D20" s="593">
        <v>0</v>
      </c>
      <c r="E20" s="594">
        <v>0</v>
      </c>
      <c r="F20" s="594">
        <v>0</v>
      </c>
      <c r="G20" s="594">
        <v>0</v>
      </c>
      <c r="H20" s="594">
        <v>0</v>
      </c>
      <c r="I20" s="594"/>
      <c r="J20" s="594"/>
      <c r="K20" s="594"/>
      <c r="L20" s="58"/>
    </row>
    <row r="21" spans="2:12" s="2" customFormat="1">
      <c r="B21" s="539" t="s">
        <v>243</v>
      </c>
      <c r="C21" s="151" t="s">
        <v>128</v>
      </c>
      <c r="D21" s="593">
        <v>0</v>
      </c>
      <c r="E21" s="594">
        <v>0</v>
      </c>
      <c r="F21" s="594">
        <v>0</v>
      </c>
      <c r="G21" s="594">
        <v>0</v>
      </c>
      <c r="H21" s="594">
        <v>0</v>
      </c>
      <c r="I21" s="594"/>
      <c r="J21" s="594"/>
      <c r="K21" s="594"/>
      <c r="L21" s="58"/>
    </row>
    <row r="22" spans="2:12" s="2" customFormat="1">
      <c r="B22" s="539" t="s">
        <v>243</v>
      </c>
      <c r="C22" s="151" t="s">
        <v>128</v>
      </c>
      <c r="D22" s="593">
        <v>0</v>
      </c>
      <c r="E22" s="594">
        <v>0</v>
      </c>
      <c r="F22" s="594">
        <v>0</v>
      </c>
      <c r="G22" s="594">
        <v>0</v>
      </c>
      <c r="H22" s="594">
        <v>0</v>
      </c>
      <c r="I22" s="594"/>
      <c r="J22" s="594"/>
      <c r="K22" s="594"/>
      <c r="L22" s="58"/>
    </row>
    <row r="23" spans="2:12" s="2" customFormat="1">
      <c r="B23" s="539" t="s">
        <v>243</v>
      </c>
      <c r="C23" s="151" t="s">
        <v>128</v>
      </c>
      <c r="D23" s="593">
        <v>0</v>
      </c>
      <c r="E23" s="594">
        <v>0</v>
      </c>
      <c r="F23" s="594">
        <v>0</v>
      </c>
      <c r="G23" s="594">
        <v>0</v>
      </c>
      <c r="H23" s="594">
        <v>0</v>
      </c>
      <c r="I23" s="594"/>
      <c r="J23" s="594"/>
      <c r="K23" s="594"/>
      <c r="L23" s="58"/>
    </row>
    <row r="24" spans="2:12" s="2" customFormat="1">
      <c r="B24" s="539" t="s">
        <v>243</v>
      </c>
      <c r="C24" s="151" t="s">
        <v>128</v>
      </c>
      <c r="D24" s="593">
        <v>0</v>
      </c>
      <c r="E24" s="594">
        <v>0</v>
      </c>
      <c r="F24" s="594">
        <v>0</v>
      </c>
      <c r="G24" s="594">
        <v>0</v>
      </c>
      <c r="H24" s="594">
        <v>0</v>
      </c>
      <c r="I24" s="594"/>
      <c r="J24" s="594"/>
      <c r="K24" s="594"/>
      <c r="L24" s="58"/>
    </row>
    <row r="25" spans="2:12" s="2" customFormat="1">
      <c r="B25" s="767" t="s">
        <v>135</v>
      </c>
      <c r="C25" s="151" t="s">
        <v>128</v>
      </c>
      <c r="D25" s="593">
        <v>0</v>
      </c>
      <c r="E25" s="594">
        <v>-11.355385148499607</v>
      </c>
      <c r="F25" s="594">
        <v>-3.2351157673678363</v>
      </c>
      <c r="G25" s="594">
        <v>1.6015813780968391</v>
      </c>
      <c r="H25" s="594">
        <v>-5.5762081120217868</v>
      </c>
      <c r="I25" s="594"/>
      <c r="J25" s="594"/>
      <c r="K25" s="594"/>
      <c r="L25" s="58"/>
    </row>
    <row r="26" spans="2:12" s="2" customFormat="1">
      <c r="B26" s="762" t="s">
        <v>148</v>
      </c>
      <c r="C26" s="151" t="s">
        <v>128</v>
      </c>
      <c r="D26" s="599">
        <f>SUM(D14:D24,-D25)</f>
        <v>215.842185427282</v>
      </c>
      <c r="E26" s="600">
        <f t="shared" ref="E26:K26" si="2">SUM(E14:E24,-E25)</f>
        <v>238.37501705097552</v>
      </c>
      <c r="F26" s="600">
        <f t="shared" si="2"/>
        <v>241.87980215255234</v>
      </c>
      <c r="G26" s="600">
        <f t="shared" si="2"/>
        <v>247.47611219589734</v>
      </c>
      <c r="H26" s="600">
        <f t="shared" si="2"/>
        <v>254.95592526436121</v>
      </c>
      <c r="I26" s="600">
        <f t="shared" si="2"/>
        <v>11.360326203108816</v>
      </c>
      <c r="J26" s="600">
        <f t="shared" si="2"/>
        <v>11.261043541891564</v>
      </c>
      <c r="K26" s="601">
        <f t="shared" si="2"/>
        <v>9.890130724376279</v>
      </c>
      <c r="L26" s="58"/>
    </row>
    <row r="27" spans="2:12" s="2" customFormat="1">
      <c r="B27" s="224"/>
      <c r="C27" s="137"/>
      <c r="D27" s="55"/>
      <c r="E27" s="55"/>
      <c r="F27" s="55"/>
      <c r="G27" s="61"/>
      <c r="H27" s="61"/>
      <c r="I27" s="61"/>
      <c r="J27" s="61"/>
      <c r="K27" s="61"/>
      <c r="L27" s="58"/>
    </row>
    <row r="28" spans="2:12" s="2" customFormat="1">
      <c r="B28" s="224" t="s">
        <v>150</v>
      </c>
      <c r="C28" s="137"/>
      <c r="D28" s="599">
        <f>IF(ISBLANK(D33),0,D33-D26)</f>
        <v>-3.1145116372819643</v>
      </c>
      <c r="E28" s="600">
        <f t="shared" ref="E28:K28" si="3">IF(ISBLANK(E33),0,E33-E26)</f>
        <v>1.5441041790244867</v>
      </c>
      <c r="F28" s="600">
        <f t="shared" si="3"/>
        <v>-5.3587181625523499</v>
      </c>
      <c r="G28" s="600">
        <f t="shared" si="3"/>
        <v>1.4587082141026997</v>
      </c>
      <c r="H28" s="600">
        <f t="shared" si="3"/>
        <v>-1.038158564361197</v>
      </c>
      <c r="I28" s="600">
        <f t="shared" si="3"/>
        <v>0</v>
      </c>
      <c r="J28" s="600">
        <f t="shared" si="3"/>
        <v>0</v>
      </c>
      <c r="K28" s="601">
        <f t="shared" si="3"/>
        <v>0</v>
      </c>
      <c r="L28" s="58"/>
    </row>
    <row r="29" spans="2:12" s="2" customFormat="1">
      <c r="B29" s="224"/>
      <c r="C29" s="137"/>
      <c r="D29" s="35"/>
      <c r="E29" s="35"/>
      <c r="F29" s="35"/>
      <c r="G29" s="35"/>
      <c r="H29" s="35"/>
      <c r="I29" s="35"/>
      <c r="J29" s="35"/>
      <c r="K29" s="35"/>
      <c r="L29" s="58"/>
    </row>
    <row r="30" spans="2:12" s="2" customFormat="1">
      <c r="B30" s="224"/>
      <c r="C30" s="137"/>
      <c r="D30" s="35"/>
      <c r="E30" s="35"/>
      <c r="F30" s="35"/>
      <c r="G30" s="35"/>
      <c r="H30" s="35"/>
      <c r="I30" s="35"/>
      <c r="J30" s="35"/>
      <c r="K30" s="35"/>
      <c r="L30" s="58"/>
    </row>
    <row r="31" spans="2:12" s="2" customFormat="1">
      <c r="B31" s="763" t="s">
        <v>193</v>
      </c>
      <c r="C31" s="149"/>
      <c r="D31" s="81"/>
      <c r="E31" s="81"/>
      <c r="F31" s="81"/>
      <c r="G31" s="81"/>
      <c r="H31" s="81"/>
      <c r="I31" s="81"/>
      <c r="J31" s="81"/>
      <c r="K31" s="81"/>
      <c r="L31" s="272"/>
    </row>
    <row r="32" spans="2:12" s="2" customFormat="1">
      <c r="B32" s="224"/>
      <c r="C32" s="137"/>
      <c r="D32" s="35"/>
      <c r="E32" s="35"/>
      <c r="F32" s="35"/>
      <c r="G32" s="35"/>
      <c r="H32" s="35"/>
      <c r="I32" s="35"/>
      <c r="J32" s="35"/>
      <c r="K32" s="35"/>
      <c r="L32" s="58"/>
    </row>
    <row r="33" spans="2:12" s="2" customFormat="1">
      <c r="B33" s="764" t="s">
        <v>149</v>
      </c>
      <c r="C33" s="137"/>
      <c r="D33" s="635">
        <v>212.72767379000004</v>
      </c>
      <c r="E33" s="636">
        <v>239.91912123</v>
      </c>
      <c r="F33" s="636">
        <v>236.52108398999999</v>
      </c>
      <c r="G33" s="636">
        <v>248.93482041000004</v>
      </c>
      <c r="H33" s="636">
        <v>253.91776670000002</v>
      </c>
      <c r="I33" s="636"/>
      <c r="J33" s="636"/>
      <c r="K33" s="637"/>
      <c r="L33" s="58"/>
    </row>
    <row r="34" spans="2:12" s="2" customFormat="1">
      <c r="B34" s="128"/>
      <c r="C34" s="135"/>
      <c r="L34" s="58"/>
    </row>
    <row r="35" spans="2:12" s="2" customFormat="1">
      <c r="B35" s="390" t="s">
        <v>136</v>
      </c>
      <c r="C35" s="135"/>
      <c r="L35" s="58"/>
    </row>
    <row r="36" spans="2:12" s="2" customFormat="1">
      <c r="B36" s="889" t="s">
        <v>137</v>
      </c>
      <c r="C36" s="151" t="s">
        <v>128</v>
      </c>
      <c r="D36" s="591">
        <v>0</v>
      </c>
      <c r="E36" s="592">
        <v>0</v>
      </c>
      <c r="F36" s="592">
        <v>0</v>
      </c>
      <c r="G36" s="592">
        <v>0</v>
      </c>
      <c r="H36" s="592">
        <v>0</v>
      </c>
      <c r="I36" s="592"/>
      <c r="J36" s="592"/>
      <c r="K36" s="602"/>
      <c r="L36" s="58"/>
    </row>
    <row r="37" spans="2:12" s="2" customFormat="1">
      <c r="B37" s="889" t="s">
        <v>138</v>
      </c>
      <c r="C37" s="151" t="s">
        <v>128</v>
      </c>
      <c r="D37" s="593">
        <v>1.2174</v>
      </c>
      <c r="E37" s="594">
        <v>1.1036000000000001</v>
      </c>
      <c r="F37" s="594">
        <v>0.98809999999999998</v>
      </c>
      <c r="G37" s="594">
        <v>0.93400000000000005</v>
      </c>
      <c r="H37" s="594">
        <v>0.838098546</v>
      </c>
      <c r="I37" s="594"/>
      <c r="J37" s="594"/>
      <c r="K37" s="603"/>
      <c r="L37" s="58"/>
    </row>
    <row r="38" spans="2:12" s="2" customFormat="1">
      <c r="B38" s="889" t="s">
        <v>139</v>
      </c>
      <c r="C38" s="151" t="s">
        <v>128</v>
      </c>
      <c r="D38" s="593">
        <v>4.1289999999999996</v>
      </c>
      <c r="E38" s="594">
        <v>37.105240045750001</v>
      </c>
      <c r="F38" s="594">
        <v>37.630099999999999</v>
      </c>
      <c r="G38" s="594">
        <v>23.5501</v>
      </c>
      <c r="H38" s="594">
        <v>26.951672869999999</v>
      </c>
      <c r="I38" s="594"/>
      <c r="J38" s="594"/>
      <c r="K38" s="603"/>
      <c r="L38" s="58"/>
    </row>
    <row r="39" spans="2:12" s="2" customFormat="1">
      <c r="B39" s="889" t="s">
        <v>140</v>
      </c>
      <c r="C39" s="151" t="s">
        <v>128</v>
      </c>
      <c r="D39" s="593">
        <v>0</v>
      </c>
      <c r="E39" s="594">
        <v>0</v>
      </c>
      <c r="F39" s="594">
        <v>0</v>
      </c>
      <c r="G39" s="594">
        <v>0</v>
      </c>
      <c r="H39" s="594">
        <v>0</v>
      </c>
      <c r="I39" s="594"/>
      <c r="J39" s="594"/>
      <c r="K39" s="603"/>
      <c r="L39" s="58"/>
    </row>
    <row r="40" spans="2:12" s="2" customFormat="1">
      <c r="B40" s="889" t="s">
        <v>141</v>
      </c>
      <c r="C40" s="151" t="s">
        <v>128</v>
      </c>
      <c r="D40" s="593">
        <v>0</v>
      </c>
      <c r="E40" s="594">
        <v>0</v>
      </c>
      <c r="F40" s="594">
        <v>0</v>
      </c>
      <c r="G40" s="594">
        <v>0</v>
      </c>
      <c r="H40" s="594">
        <v>0</v>
      </c>
      <c r="I40" s="594"/>
      <c r="J40" s="594"/>
      <c r="K40" s="603"/>
      <c r="L40" s="58"/>
    </row>
    <row r="41" spans="2:12" s="2" customFormat="1">
      <c r="B41" s="889" t="s">
        <v>142</v>
      </c>
      <c r="C41" s="151" t="s">
        <v>128</v>
      </c>
      <c r="D41" s="593">
        <v>2.4264000000000001</v>
      </c>
      <c r="E41" s="594">
        <v>2.1886000000000001</v>
      </c>
      <c r="F41" s="594">
        <v>4.0274999999999999</v>
      </c>
      <c r="G41" s="594">
        <v>5.0038</v>
      </c>
      <c r="H41" s="594">
        <v>4.9657826780000001</v>
      </c>
      <c r="I41" s="594"/>
      <c r="J41" s="594"/>
      <c r="K41" s="603"/>
      <c r="L41" s="58"/>
    </row>
    <row r="42" spans="2:12" s="2" customFormat="1">
      <c r="B42" s="889" t="s">
        <v>143</v>
      </c>
      <c r="C42" s="151" t="s">
        <v>128</v>
      </c>
      <c r="D42" s="593">
        <v>0</v>
      </c>
      <c r="E42" s="594">
        <v>0</v>
      </c>
      <c r="F42" s="594">
        <v>0</v>
      </c>
      <c r="G42" s="594">
        <v>0</v>
      </c>
      <c r="H42" s="594">
        <v>0</v>
      </c>
      <c r="I42" s="594"/>
      <c r="J42" s="594"/>
      <c r="K42" s="603"/>
      <c r="L42" s="58"/>
    </row>
    <row r="43" spans="2:12" s="2" customFormat="1">
      <c r="B43" s="890" t="s">
        <v>144</v>
      </c>
      <c r="C43" s="151" t="s">
        <v>128</v>
      </c>
      <c r="D43" s="604">
        <v>0</v>
      </c>
      <c r="E43" s="605">
        <v>0</v>
      </c>
      <c r="F43" s="605">
        <v>0</v>
      </c>
      <c r="G43" s="605">
        <v>0</v>
      </c>
      <c r="H43" s="605">
        <v>0</v>
      </c>
      <c r="I43" s="605"/>
      <c r="J43" s="605"/>
      <c r="K43" s="606"/>
      <c r="L43" s="58"/>
    </row>
    <row r="44" spans="2:12" s="2" customFormat="1">
      <c r="B44" s="888" t="s">
        <v>528</v>
      </c>
      <c r="C44" s="151" t="s">
        <v>128</v>
      </c>
      <c r="D44" s="604">
        <v>0</v>
      </c>
      <c r="E44" s="605">
        <v>0</v>
      </c>
      <c r="F44" s="605">
        <v>0</v>
      </c>
      <c r="G44" s="605">
        <v>0</v>
      </c>
      <c r="H44" s="605">
        <v>0</v>
      </c>
      <c r="I44" s="605"/>
      <c r="J44" s="605"/>
      <c r="K44" s="606"/>
      <c r="L44" s="58"/>
    </row>
    <row r="45" spans="2:12" s="2" customFormat="1">
      <c r="B45" s="390" t="s">
        <v>176</v>
      </c>
      <c r="C45" s="151" t="s">
        <v>128</v>
      </c>
      <c r="D45" s="607">
        <f>SUM(D36:D44)</f>
        <v>7.7727999999999993</v>
      </c>
      <c r="E45" s="608">
        <f t="shared" ref="E45:K45" si="4">SUM(E36:E44)</f>
        <v>40.397440045750002</v>
      </c>
      <c r="F45" s="608">
        <f t="shared" si="4"/>
        <v>42.645700000000005</v>
      </c>
      <c r="G45" s="608">
        <f t="shared" si="4"/>
        <v>29.487900000000003</v>
      </c>
      <c r="H45" s="608">
        <f t="shared" si="4"/>
        <v>32.755554094000004</v>
      </c>
      <c r="I45" s="608">
        <f t="shared" si="4"/>
        <v>0</v>
      </c>
      <c r="J45" s="608">
        <f t="shared" si="4"/>
        <v>0</v>
      </c>
      <c r="K45" s="609">
        <f t="shared" si="4"/>
        <v>0</v>
      </c>
      <c r="L45" s="58"/>
    </row>
    <row r="46" spans="2:12" s="2" customFormat="1">
      <c r="B46" s="128"/>
      <c r="C46" s="135"/>
      <c r="L46" s="58"/>
    </row>
    <row r="47" spans="2:12" s="2" customFormat="1">
      <c r="B47" s="390" t="s">
        <v>145</v>
      </c>
      <c r="C47" s="135"/>
      <c r="L47" s="54"/>
    </row>
    <row r="48" spans="2:12" s="2" customFormat="1">
      <c r="B48" s="937" t="s">
        <v>578</v>
      </c>
      <c r="C48" s="151" t="s">
        <v>128</v>
      </c>
      <c r="D48" s="610">
        <v>1.4123940700000002</v>
      </c>
      <c r="E48" s="611">
        <v>1.5781962919999999</v>
      </c>
      <c r="F48" s="611">
        <v>1.9098928800000003</v>
      </c>
      <c r="G48" s="611">
        <v>1.71462746</v>
      </c>
      <c r="H48" s="611">
        <v>2.0812996999900002</v>
      </c>
      <c r="I48" s="611"/>
      <c r="J48" s="611"/>
      <c r="K48" s="612"/>
      <c r="L48" s="58"/>
    </row>
    <row r="49" spans="2:12" s="2" customFormat="1">
      <c r="B49" s="937" t="s">
        <v>579</v>
      </c>
      <c r="C49" s="151" t="s">
        <v>128</v>
      </c>
      <c r="D49" s="613">
        <v>-0.33719300000000002</v>
      </c>
      <c r="E49" s="614">
        <v>-0.35262568001</v>
      </c>
      <c r="F49" s="614">
        <v>-0.27200004</v>
      </c>
      <c r="G49" s="614">
        <v>-0.27158536</v>
      </c>
      <c r="H49" s="614">
        <v>-0.24219570000000001</v>
      </c>
      <c r="I49" s="614"/>
      <c r="J49" s="614"/>
      <c r="K49" s="615"/>
      <c r="L49" s="58"/>
    </row>
    <row r="50" spans="2:12" s="2" customFormat="1">
      <c r="B50" s="937" t="s">
        <v>580</v>
      </c>
      <c r="C50" s="151" t="s">
        <v>128</v>
      </c>
      <c r="D50" s="613">
        <v>-0.96548358000000012</v>
      </c>
      <c r="E50" s="614">
        <v>1.6866510799999999</v>
      </c>
      <c r="F50" s="614">
        <v>-1.0636072700000001</v>
      </c>
      <c r="G50" s="614">
        <v>-0.52263194000000002</v>
      </c>
      <c r="H50" s="614">
        <v>-1.0043165999999999</v>
      </c>
      <c r="I50" s="614"/>
      <c r="J50" s="614"/>
      <c r="K50" s="615"/>
      <c r="L50" s="58"/>
    </row>
    <row r="51" spans="2:12" s="2" customFormat="1">
      <c r="B51" s="937" t="s">
        <v>581</v>
      </c>
      <c r="C51" s="151" t="s">
        <v>128</v>
      </c>
      <c r="D51" s="613">
        <v>25.659099999999999</v>
      </c>
      <c r="E51" s="614">
        <v>0</v>
      </c>
      <c r="F51" s="614">
        <v>0</v>
      </c>
      <c r="G51" s="614">
        <v>0</v>
      </c>
      <c r="H51" s="614">
        <v>0</v>
      </c>
      <c r="I51" s="614"/>
      <c r="J51" s="614"/>
      <c r="K51" s="615"/>
      <c r="L51" s="58"/>
    </row>
    <row r="52" spans="2:12" s="2" customFormat="1">
      <c r="B52" s="937" t="s">
        <v>582</v>
      </c>
      <c r="C52" s="151" t="s">
        <v>128</v>
      </c>
      <c r="D52" s="613">
        <v>-26.252399999999998</v>
      </c>
      <c r="E52" s="614">
        <v>-31.95034004575</v>
      </c>
      <c r="F52" s="614">
        <v>-33.854799999999997</v>
      </c>
      <c r="G52" s="614">
        <v>-20.103242189015599</v>
      </c>
      <c r="H52" s="614">
        <v>-23.756599999999999</v>
      </c>
      <c r="I52" s="614"/>
      <c r="J52" s="614"/>
      <c r="K52" s="615"/>
      <c r="L52" s="58"/>
    </row>
    <row r="53" spans="2:12" s="2" customFormat="1">
      <c r="B53" s="937" t="s">
        <v>583</v>
      </c>
      <c r="C53" s="151" t="s">
        <v>128</v>
      </c>
      <c r="D53" s="613">
        <v>0.59330000000000005</v>
      </c>
      <c r="E53" s="614">
        <v>0</v>
      </c>
      <c r="F53" s="614">
        <v>0</v>
      </c>
      <c r="G53" s="614">
        <v>0</v>
      </c>
      <c r="H53" s="614"/>
      <c r="I53" s="614"/>
      <c r="J53" s="614"/>
      <c r="K53" s="615"/>
      <c r="L53" s="58"/>
    </row>
    <row r="54" spans="2:12" s="2" customFormat="1">
      <c r="B54" s="539" t="s">
        <v>154</v>
      </c>
      <c r="C54" s="151" t="s">
        <v>128</v>
      </c>
      <c r="D54" s="613">
        <v>0</v>
      </c>
      <c r="E54" s="614">
        <v>0</v>
      </c>
      <c r="F54" s="614">
        <v>0</v>
      </c>
      <c r="G54" s="614">
        <v>0</v>
      </c>
      <c r="H54" s="614">
        <v>-0.1</v>
      </c>
      <c r="I54" s="614"/>
      <c r="J54" s="614"/>
      <c r="K54" s="615"/>
      <c r="L54" s="58"/>
    </row>
    <row r="55" spans="2:12" s="2" customFormat="1">
      <c r="B55" s="539" t="s">
        <v>243</v>
      </c>
      <c r="C55" s="151" t="s">
        <v>128</v>
      </c>
      <c r="D55" s="613"/>
      <c r="E55" s="614"/>
      <c r="F55" s="614"/>
      <c r="G55" s="614"/>
      <c r="H55" s="614"/>
      <c r="I55" s="614"/>
      <c r="J55" s="614"/>
      <c r="K55" s="615"/>
      <c r="L55" s="58"/>
    </row>
    <row r="56" spans="2:12" s="2" customFormat="1">
      <c r="B56" s="539" t="s">
        <v>243</v>
      </c>
      <c r="C56" s="151" t="s">
        <v>128</v>
      </c>
      <c r="D56" s="613"/>
      <c r="E56" s="614"/>
      <c r="F56" s="614"/>
      <c r="G56" s="614"/>
      <c r="H56" s="614"/>
      <c r="I56" s="614"/>
      <c r="J56" s="614"/>
      <c r="K56" s="615"/>
      <c r="L56" s="58"/>
    </row>
    <row r="57" spans="2:12" s="2" customFormat="1">
      <c r="B57" s="539" t="s">
        <v>243</v>
      </c>
      <c r="C57" s="151" t="s">
        <v>128</v>
      </c>
      <c r="D57" s="613"/>
      <c r="E57" s="614"/>
      <c r="F57" s="614"/>
      <c r="G57" s="614"/>
      <c r="H57" s="614"/>
      <c r="I57" s="614"/>
      <c r="J57" s="614"/>
      <c r="K57" s="615"/>
      <c r="L57" s="58"/>
    </row>
    <row r="58" spans="2:12" s="2" customFormat="1">
      <c r="B58" s="539" t="s">
        <v>243</v>
      </c>
      <c r="C58" s="151" t="s">
        <v>128</v>
      </c>
      <c r="D58" s="613"/>
      <c r="E58" s="614"/>
      <c r="F58" s="614"/>
      <c r="G58" s="614"/>
      <c r="H58" s="614"/>
      <c r="I58" s="614"/>
      <c r="J58" s="614"/>
      <c r="K58" s="615"/>
      <c r="L58" s="58"/>
    </row>
    <row r="59" spans="2:12" s="2" customFormat="1">
      <c r="B59" s="539" t="s">
        <v>243</v>
      </c>
      <c r="C59" s="151" t="s">
        <v>128</v>
      </c>
      <c r="D59" s="613"/>
      <c r="E59" s="614"/>
      <c r="F59" s="614"/>
      <c r="G59" s="614"/>
      <c r="H59" s="614"/>
      <c r="I59" s="614"/>
      <c r="J59" s="614"/>
      <c r="K59" s="615"/>
      <c r="L59" s="58"/>
    </row>
    <row r="60" spans="2:12" s="2" customFormat="1">
      <c r="B60" s="539" t="s">
        <v>243</v>
      </c>
      <c r="C60" s="151" t="s">
        <v>128</v>
      </c>
      <c r="D60" s="613"/>
      <c r="E60" s="614"/>
      <c r="F60" s="614"/>
      <c r="G60" s="614"/>
      <c r="H60" s="614"/>
      <c r="I60" s="614"/>
      <c r="J60" s="614"/>
      <c r="K60" s="615"/>
      <c r="L60" s="58"/>
    </row>
    <row r="61" spans="2:12" s="2" customFormat="1">
      <c r="B61" s="539" t="s">
        <v>243</v>
      </c>
      <c r="C61" s="151" t="s">
        <v>128</v>
      </c>
      <c r="D61" s="613"/>
      <c r="E61" s="614"/>
      <c r="F61" s="614"/>
      <c r="G61" s="614"/>
      <c r="H61" s="614"/>
      <c r="I61" s="614"/>
      <c r="J61" s="614"/>
      <c r="K61" s="615"/>
      <c r="L61" s="58"/>
    </row>
    <row r="62" spans="2:12" s="2" customFormat="1">
      <c r="B62" s="539" t="s">
        <v>243</v>
      </c>
      <c r="C62" s="151" t="s">
        <v>128</v>
      </c>
      <c r="D62" s="613"/>
      <c r="E62" s="614"/>
      <c r="F62" s="614"/>
      <c r="G62" s="614"/>
      <c r="H62" s="614"/>
      <c r="I62" s="614"/>
      <c r="J62" s="614"/>
      <c r="K62" s="615"/>
      <c r="L62" s="58"/>
    </row>
    <row r="63" spans="2:12" s="2" customFormat="1">
      <c r="B63" s="944" t="s">
        <v>243</v>
      </c>
      <c r="C63" s="151" t="s">
        <v>128</v>
      </c>
      <c r="D63" s="616"/>
      <c r="E63" s="617"/>
      <c r="F63" s="618"/>
      <c r="G63" s="617"/>
      <c r="H63" s="617"/>
      <c r="I63" s="617"/>
      <c r="J63" s="617"/>
      <c r="K63" s="619"/>
      <c r="L63" s="58"/>
    </row>
    <row r="64" spans="2:12" s="2" customFormat="1">
      <c r="B64" s="764" t="s">
        <v>177</v>
      </c>
      <c r="C64" s="151" t="s">
        <v>128</v>
      </c>
      <c r="D64" s="599">
        <f t="shared" ref="D64:K64" si="5">SUM(D48:D63)</f>
        <v>0.10971749000000208</v>
      </c>
      <c r="E64" s="600">
        <f t="shared" si="5"/>
        <v>-29.038118353760002</v>
      </c>
      <c r="F64" s="600">
        <f t="shared" si="5"/>
        <v>-33.280514429999997</v>
      </c>
      <c r="G64" s="600">
        <f t="shared" si="5"/>
        <v>-19.1828320290156</v>
      </c>
      <c r="H64" s="600">
        <f t="shared" si="5"/>
        <v>-23.021812600010001</v>
      </c>
      <c r="I64" s="600">
        <f t="shared" si="5"/>
        <v>0</v>
      </c>
      <c r="J64" s="600">
        <f t="shared" si="5"/>
        <v>0</v>
      </c>
      <c r="K64" s="601">
        <f t="shared" si="5"/>
        <v>0</v>
      </c>
      <c r="L64" s="58"/>
    </row>
    <row r="65" spans="1:12" s="2" customFormat="1">
      <c r="B65" s="224"/>
      <c r="C65" s="137"/>
      <c r="D65" s="56"/>
      <c r="E65" s="56"/>
      <c r="F65" s="56"/>
      <c r="G65" s="56"/>
      <c r="H65" s="56"/>
      <c r="I65" s="56"/>
      <c r="J65" s="56"/>
      <c r="K65" s="56"/>
      <c r="L65" s="58"/>
    </row>
    <row r="66" spans="1:12" s="2" customFormat="1">
      <c r="B66" s="764" t="s">
        <v>146</v>
      </c>
      <c r="C66" s="151" t="s">
        <v>128</v>
      </c>
      <c r="D66" s="620">
        <f t="shared" ref="D66:K66" si="6">D33+D45+D64</f>
        <v>220.61019128000004</v>
      </c>
      <c r="E66" s="621">
        <f t="shared" si="6"/>
        <v>251.27844292199001</v>
      </c>
      <c r="F66" s="621">
        <f t="shared" si="6"/>
        <v>245.88626956000002</v>
      </c>
      <c r="G66" s="621">
        <f t="shared" si="6"/>
        <v>259.23988838098444</v>
      </c>
      <c r="H66" s="621">
        <f t="shared" si="6"/>
        <v>263.65150819399003</v>
      </c>
      <c r="I66" s="621">
        <f t="shared" si="6"/>
        <v>0</v>
      </c>
      <c r="J66" s="621">
        <f t="shared" si="6"/>
        <v>0</v>
      </c>
      <c r="K66" s="622">
        <f t="shared" si="6"/>
        <v>0</v>
      </c>
      <c r="L66" s="58"/>
    </row>
    <row r="67" spans="1:12" s="2" customFormat="1">
      <c r="B67" s="764" t="s">
        <v>194</v>
      </c>
      <c r="C67" s="151" t="s">
        <v>128</v>
      </c>
      <c r="D67" s="623">
        <v>220.6</v>
      </c>
      <c r="E67" s="624">
        <v>251.2</v>
      </c>
      <c r="F67" s="624">
        <v>245.8</v>
      </c>
      <c r="G67" s="624">
        <v>259.2</v>
      </c>
      <c r="H67" s="624">
        <v>263.60000000000002</v>
      </c>
      <c r="I67" s="624"/>
      <c r="J67" s="624"/>
      <c r="K67" s="625"/>
      <c r="L67" s="58"/>
    </row>
    <row r="68" spans="1:12" s="2" customFormat="1">
      <c r="B68" s="224" t="s">
        <v>122</v>
      </c>
      <c r="C68" s="137"/>
      <c r="D68" s="114" t="str">
        <f>IF(ABS(D66-D67)&lt;'RFPR cover'!$F$14,"OK","Error")</f>
        <v>OK</v>
      </c>
      <c r="E68" s="114" t="str">
        <f>IF(ABS(E66-E67)&lt;'RFPR cover'!$F$14,"OK","Error")</f>
        <v>OK</v>
      </c>
      <c r="F68" s="114" t="str">
        <f>IF(ABS(F66-F67)&lt;'RFPR cover'!$F$14,"OK","Error")</f>
        <v>OK</v>
      </c>
      <c r="G68" s="114" t="str">
        <f>IF(ABS(G66-G67)&lt;'RFPR cover'!$F$14,"OK","Error")</f>
        <v>OK</v>
      </c>
      <c r="H68" s="114" t="str">
        <f>IF(ABS(H66-H67)&lt;'RFPR cover'!$F$14,"OK","Error")</f>
        <v>OK</v>
      </c>
      <c r="I68" s="114" t="str">
        <f>IF(ABS(I66-I67)&lt;'RFPR cover'!$F$14,"OK","Error")</f>
        <v>OK</v>
      </c>
      <c r="J68" s="114" t="str">
        <f>IF(ABS(J66-J67)&lt;'RFPR cover'!$F$14,"OK","Error")</f>
        <v>OK</v>
      </c>
      <c r="K68" s="114" t="str">
        <f>IF(ABS(K66-K67)&lt;'RFPR cover'!$F$14,"OK","Error")</f>
        <v>OK</v>
      </c>
      <c r="L68" s="58"/>
    </row>
    <row r="69" spans="1:12" s="2" customFormat="1">
      <c r="B69" s="128"/>
      <c r="C69" s="137"/>
      <c r="D69" s="48"/>
      <c r="E69" s="48"/>
      <c r="F69" s="48"/>
      <c r="G69" s="48"/>
      <c r="H69" s="48"/>
      <c r="I69" s="48"/>
      <c r="J69" s="48"/>
      <c r="K69" s="48"/>
      <c r="L69" s="58"/>
    </row>
    <row r="70" spans="1:12" s="2" customFormat="1">
      <c r="B70" s="128"/>
      <c r="C70" s="135"/>
      <c r="L70" s="54"/>
    </row>
    <row r="71" spans="1:12" s="2" customFormat="1">
      <c r="A71" s="81"/>
      <c r="B71" s="769"/>
      <c r="C71" s="149"/>
      <c r="D71" s="81"/>
      <c r="E71" s="81"/>
      <c r="F71" s="81"/>
      <c r="G71" s="81"/>
      <c r="H71" s="81"/>
      <c r="I71" s="81"/>
      <c r="J71" s="81"/>
      <c r="K71" s="81"/>
      <c r="L71" s="271"/>
    </row>
  </sheetData>
  <conditionalFormatting sqref="D6:K6">
    <cfRule type="expression" dxfId="81" priority="22">
      <formula>AND(D$5="Actuals",E$5="Forecast")</formula>
    </cfRule>
  </conditionalFormatting>
  <conditionalFormatting sqref="D5:K5">
    <cfRule type="expression" dxfId="80" priority="15">
      <formula>AND(D$5="Actuals",E$5="Forecast")</formula>
    </cfRule>
  </conditionalFormatting>
  <conditionalFormatting sqref="I33:K33 D45:K45 D64:K64 D28:H28 D66:K66 I36:K44 H48:K63 D68:K68 I67:K67">
    <cfRule type="expression" dxfId="79" priority="14">
      <formula>D$5="Forecast"</formula>
    </cfRule>
  </conditionalFormatting>
  <conditionalFormatting sqref="I10:K26 I28:K28">
    <cfRule type="expression" dxfId="78" priority="13">
      <formula>I$5="Forecast"</formula>
    </cfRule>
  </conditionalFormatting>
  <conditionalFormatting sqref="H14:H15 H17:H18 H26">
    <cfRule type="expression" dxfId="77" priority="12">
      <formula>H$5="Forecast"</formula>
    </cfRule>
  </conditionalFormatting>
  <conditionalFormatting sqref="G14:G15 G17:G18 G26">
    <cfRule type="expression" dxfId="76" priority="11">
      <formula>G$5="Forecast"</formula>
    </cfRule>
  </conditionalFormatting>
  <conditionalFormatting sqref="H10:H13">
    <cfRule type="expression" dxfId="75" priority="10">
      <formula>H$5="Forecast"</formula>
    </cfRule>
  </conditionalFormatting>
  <conditionalFormatting sqref="G10:G13">
    <cfRule type="expression" dxfId="74" priority="9">
      <formula>G$5="Forecast"</formula>
    </cfRule>
  </conditionalFormatting>
  <conditionalFormatting sqref="H16">
    <cfRule type="expression" dxfId="73" priority="8">
      <formula>H$5="Forecast"</formula>
    </cfRule>
  </conditionalFormatting>
  <conditionalFormatting sqref="G16">
    <cfRule type="expression" dxfId="72" priority="7">
      <formula>G$5="Forecast"</formula>
    </cfRule>
  </conditionalFormatting>
  <conditionalFormatting sqref="H19:H25">
    <cfRule type="expression" dxfId="71" priority="6">
      <formula>H$5="Forecast"</formula>
    </cfRule>
  </conditionalFormatting>
  <conditionalFormatting sqref="G19:G25">
    <cfRule type="expression" dxfId="70" priority="5">
      <formula>G$5="Forecast"</formula>
    </cfRule>
  </conditionalFormatting>
  <conditionalFormatting sqref="D33:H33">
    <cfRule type="expression" dxfId="69" priority="4">
      <formula>D$5="Forecast"</formula>
    </cfRule>
  </conditionalFormatting>
  <conditionalFormatting sqref="D36:H44">
    <cfRule type="expression" dxfId="68" priority="3">
      <formula>D$5="Forecast"</formula>
    </cfRule>
  </conditionalFormatting>
  <conditionalFormatting sqref="D48:G63">
    <cfRule type="expression" dxfId="67" priority="2">
      <formula>D$5="Forecast"</formula>
    </cfRule>
  </conditionalFormatting>
  <conditionalFormatting sqref="D67:H67">
    <cfRule type="expression" dxfId="66" priority="1">
      <formula>D$5="Forecast"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4.453125" customWidth="1"/>
    <col min="3" max="3" width="13.36328125" style="135" customWidth="1"/>
    <col min="4" max="11" width="11.08984375" customWidth="1"/>
    <col min="12" max="12" width="5" customWidth="1"/>
  </cols>
  <sheetData>
    <row r="1" spans="1:12" s="31" customFormat="1" ht="21">
      <c r="A1" s="919" t="s">
        <v>310</v>
      </c>
      <c r="B1" s="920"/>
      <c r="C1" s="147"/>
      <c r="D1" s="120"/>
      <c r="E1" s="120"/>
      <c r="F1" s="120"/>
      <c r="G1" s="120"/>
      <c r="H1" s="120"/>
      <c r="I1" s="120"/>
      <c r="J1" s="120"/>
      <c r="K1" s="120"/>
      <c r="L1" s="121"/>
    </row>
    <row r="2" spans="1:12" s="31" customFormat="1" ht="21">
      <c r="A2" s="904" t="str">
        <f>'RFPR cover'!C5</f>
        <v>WPD-SWALES</v>
      </c>
      <c r="B2" s="896"/>
      <c r="C2" s="133"/>
      <c r="D2" s="29"/>
      <c r="E2" s="29"/>
      <c r="F2" s="29"/>
      <c r="G2" s="29"/>
      <c r="H2" s="29"/>
      <c r="I2" s="27"/>
      <c r="J2" s="27"/>
      <c r="K2" s="27"/>
      <c r="L2" s="122"/>
    </row>
    <row r="3" spans="1:12" s="31" customFormat="1" ht="21">
      <c r="A3" s="921">
        <f>'RFPR cover'!C7</f>
        <v>2020</v>
      </c>
      <c r="B3" s="922"/>
      <c r="C3" s="148"/>
      <c r="D3" s="123"/>
      <c r="E3" s="123"/>
      <c r="F3" s="123"/>
      <c r="G3" s="123"/>
      <c r="H3" s="123"/>
      <c r="I3" s="28"/>
      <c r="J3" s="28"/>
      <c r="K3" s="28"/>
      <c r="L3" s="124"/>
    </row>
    <row r="4" spans="1:12" s="2" customFormat="1" ht="12.75" customHeight="1">
      <c r="C4" s="135"/>
    </row>
    <row r="5" spans="1:12" s="2" customFormat="1">
      <c r="B5" s="3"/>
      <c r="C5" s="135"/>
      <c r="D5" s="386" t="str">
        <f>IF(D6&lt;='RFPR cover'!$C$7,"Actuals","N/A")</f>
        <v>Actuals</v>
      </c>
      <c r="E5" s="387" t="str">
        <f>IF(E6&lt;='RFPR cover'!$C$7,"Actuals","N/A")</f>
        <v>Actuals</v>
      </c>
      <c r="F5" s="387" t="str">
        <f>IF(F6&lt;='RFPR cover'!$C$7,"Actuals","N/A")</f>
        <v>Actuals</v>
      </c>
      <c r="G5" s="387" t="str">
        <f>IF(G6&lt;='RFPR cover'!$C$7,"Actuals","N/A")</f>
        <v>Actuals</v>
      </c>
      <c r="H5" s="387" t="str">
        <f>IF(H6&lt;='RFPR cover'!$C$7,"Actuals","N/A")</f>
        <v>Actuals</v>
      </c>
      <c r="I5" s="387" t="str">
        <f>IF(I6&lt;='RFPR cover'!$C$7,"Actuals","N/A")</f>
        <v>N/A</v>
      </c>
      <c r="J5" s="387" t="str">
        <f>IF(J6&lt;='RFPR cover'!$C$7,"Actuals","N/A")</f>
        <v>N/A</v>
      </c>
      <c r="K5" s="388" t="str">
        <f>IF(K6&lt;='RFPR cover'!$C$7,"Actuals","N/A")</f>
        <v>N/A</v>
      </c>
    </row>
    <row r="6" spans="1:12" s="2" customFormat="1">
      <c r="C6" s="135"/>
      <c r="D6" s="116">
        <f>'RFPR cover'!$C$13</f>
        <v>2016</v>
      </c>
      <c r="E6" s="117">
        <f>D6+1</f>
        <v>2017</v>
      </c>
      <c r="F6" s="117">
        <f t="shared" ref="F6:K6" si="0">E6+1</f>
        <v>2018</v>
      </c>
      <c r="G6" s="117">
        <f t="shared" si="0"/>
        <v>2019</v>
      </c>
      <c r="H6" s="117">
        <f t="shared" si="0"/>
        <v>2020</v>
      </c>
      <c r="I6" s="117">
        <f t="shared" si="0"/>
        <v>2021</v>
      </c>
      <c r="J6" s="117">
        <f t="shared" si="0"/>
        <v>2022</v>
      </c>
      <c r="K6" s="194">
        <f t="shared" si="0"/>
        <v>2023</v>
      </c>
    </row>
    <row r="7" spans="1:12" s="2" customFormat="1">
      <c r="C7" s="135"/>
    </row>
    <row r="8" spans="1:12" s="2" customFormat="1">
      <c r="B8" s="51" t="s">
        <v>316</v>
      </c>
      <c r="C8" s="136"/>
      <c r="D8" s="51"/>
      <c r="E8" s="51"/>
      <c r="F8" s="51"/>
      <c r="G8" s="51"/>
      <c r="H8" s="51"/>
      <c r="I8" s="51"/>
      <c r="J8" s="51"/>
      <c r="K8" s="51"/>
      <c r="L8" s="35"/>
    </row>
    <row r="9" spans="1:12" s="2" customFormat="1">
      <c r="B9" s="128" t="s">
        <v>160</v>
      </c>
      <c r="C9" s="151" t="s">
        <v>128</v>
      </c>
      <c r="D9" s="591">
        <v>141.49812031000025</v>
      </c>
      <c r="E9" s="592">
        <v>144.35600000000002</v>
      </c>
      <c r="F9" s="592">
        <v>151.88500000000002</v>
      </c>
      <c r="G9" s="592">
        <v>145.74800000000002</v>
      </c>
      <c r="H9" s="592">
        <v>138.1</v>
      </c>
      <c r="I9" s="592"/>
      <c r="J9" s="592"/>
      <c r="K9" s="602"/>
    </row>
    <row r="10" spans="1:12" s="2" customFormat="1">
      <c r="B10" s="128" t="s">
        <v>161</v>
      </c>
      <c r="C10" s="151" t="s">
        <v>128</v>
      </c>
      <c r="D10" s="593">
        <v>-3.0469999999976904E-5</v>
      </c>
      <c r="E10" s="594">
        <v>1.3</v>
      </c>
      <c r="F10" s="594">
        <v>1.1000000000000001</v>
      </c>
      <c r="G10" s="594">
        <v>2</v>
      </c>
      <c r="H10" s="594">
        <v>1.1000000000000001</v>
      </c>
      <c r="I10" s="594"/>
      <c r="J10" s="594"/>
      <c r="K10" s="603"/>
    </row>
    <row r="11" spans="1:12" s="2" customFormat="1" ht="29.25" customHeight="1">
      <c r="B11" s="129" t="s">
        <v>455</v>
      </c>
      <c r="C11" s="151" t="s">
        <v>128</v>
      </c>
      <c r="D11" s="593">
        <v>-1.228</v>
      </c>
      <c r="E11" s="594">
        <v>0</v>
      </c>
      <c r="F11" s="594">
        <v>0</v>
      </c>
      <c r="G11" s="594">
        <v>0</v>
      </c>
      <c r="H11" s="594">
        <v>0</v>
      </c>
      <c r="I11" s="594"/>
      <c r="J11" s="594"/>
      <c r="K11" s="603"/>
    </row>
    <row r="12" spans="1:12" s="2" customFormat="1">
      <c r="B12" s="128" t="s">
        <v>162</v>
      </c>
      <c r="C12" s="151" t="s">
        <v>128</v>
      </c>
      <c r="D12" s="593">
        <v>-26.2624</v>
      </c>
      <c r="E12" s="594">
        <v>-33.477437860000002</v>
      </c>
      <c r="F12" s="594">
        <v>-35.374176420000005</v>
      </c>
      <c r="G12" s="594">
        <v>-23.905204299999998</v>
      </c>
      <c r="H12" s="594">
        <v>-26.211667200000004</v>
      </c>
      <c r="I12" s="594"/>
      <c r="J12" s="594"/>
      <c r="K12" s="603"/>
    </row>
    <row r="13" spans="1:12" s="2" customFormat="1">
      <c r="B13" s="128" t="s">
        <v>163</v>
      </c>
      <c r="C13" s="151" t="s">
        <v>128</v>
      </c>
      <c r="D13" s="593">
        <v>-0.2</v>
      </c>
      <c r="E13" s="594">
        <v>0.44400000000000001</v>
      </c>
      <c r="F13" s="594">
        <v>0.51500000000000001</v>
      </c>
      <c r="G13" s="594">
        <v>0.95199999999999996</v>
      </c>
      <c r="H13" s="594">
        <v>0</v>
      </c>
      <c r="I13" s="594"/>
      <c r="J13" s="594"/>
      <c r="K13" s="603"/>
    </row>
    <row r="14" spans="1:12" s="2" customFormat="1">
      <c r="B14" s="128" t="s">
        <v>164</v>
      </c>
      <c r="C14" s="151" t="s">
        <v>128</v>
      </c>
      <c r="D14" s="629">
        <v>0</v>
      </c>
      <c r="E14" s="630">
        <v>0</v>
      </c>
      <c r="F14" s="630">
        <v>0</v>
      </c>
      <c r="G14" s="630">
        <v>0</v>
      </c>
      <c r="H14" s="630">
        <v>0</v>
      </c>
      <c r="I14" s="630"/>
      <c r="J14" s="630"/>
      <c r="K14" s="631"/>
    </row>
    <row r="15" spans="1:12" s="2" customFormat="1">
      <c r="A15" s="3">
        <v>1</v>
      </c>
      <c r="B15" s="866" t="s">
        <v>243</v>
      </c>
      <c r="C15" s="151" t="s">
        <v>128</v>
      </c>
      <c r="D15" s="591"/>
      <c r="E15" s="592"/>
      <c r="F15" s="592"/>
      <c r="G15" s="592"/>
      <c r="H15" s="592"/>
      <c r="I15" s="592"/>
      <c r="J15" s="592"/>
      <c r="K15" s="602"/>
    </row>
    <row r="16" spans="1:12" s="2" customFormat="1">
      <c r="A16" s="3">
        <v>2</v>
      </c>
      <c r="B16" s="866" t="s">
        <v>243</v>
      </c>
      <c r="C16" s="151" t="s">
        <v>128</v>
      </c>
      <c r="D16" s="593"/>
      <c r="E16" s="594"/>
      <c r="F16" s="594"/>
      <c r="G16" s="594"/>
      <c r="H16" s="594"/>
      <c r="I16" s="594"/>
      <c r="J16" s="594"/>
      <c r="K16" s="603"/>
    </row>
    <row r="17" spans="1:11" s="2" customFormat="1">
      <c r="A17" s="3">
        <v>3</v>
      </c>
      <c r="B17" s="866" t="s">
        <v>243</v>
      </c>
      <c r="C17" s="151" t="s">
        <v>128</v>
      </c>
      <c r="D17" s="593"/>
      <c r="E17" s="594"/>
      <c r="F17" s="594"/>
      <c r="G17" s="594"/>
      <c r="H17" s="594"/>
      <c r="I17" s="594"/>
      <c r="J17" s="594"/>
      <c r="K17" s="603"/>
    </row>
    <row r="18" spans="1:11" s="2" customFormat="1">
      <c r="B18" s="12" t="s">
        <v>165</v>
      </c>
      <c r="C18" s="151" t="s">
        <v>128</v>
      </c>
      <c r="D18" s="632">
        <f>SUM(D9:D17)</f>
        <v>113.80768984000022</v>
      </c>
      <c r="E18" s="633">
        <f t="shared" ref="E18:K18" si="1">SUM(E9:E17)</f>
        <v>112.62256214000003</v>
      </c>
      <c r="F18" s="633">
        <f t="shared" si="1"/>
        <v>118.12582358000002</v>
      </c>
      <c r="G18" s="633">
        <f t="shared" si="1"/>
        <v>124.79479570000002</v>
      </c>
      <c r="H18" s="633">
        <f t="shared" si="1"/>
        <v>112.98833279999998</v>
      </c>
      <c r="I18" s="633">
        <f t="shared" si="1"/>
        <v>0</v>
      </c>
      <c r="J18" s="633">
        <f t="shared" si="1"/>
        <v>0</v>
      </c>
      <c r="K18" s="634">
        <f t="shared" si="1"/>
        <v>0</v>
      </c>
    </row>
    <row r="19" spans="1:11" s="2" customFormat="1">
      <c r="B19" s="128" t="s">
        <v>166</v>
      </c>
      <c r="C19" s="151" t="s">
        <v>128</v>
      </c>
      <c r="D19" s="635">
        <v>80.09999999999998</v>
      </c>
      <c r="E19" s="636">
        <v>72.199999999999989</v>
      </c>
      <c r="F19" s="636">
        <v>73.478000000000009</v>
      </c>
      <c r="G19" s="636">
        <v>82.3</v>
      </c>
      <c r="H19" s="636">
        <v>77.599999999999994</v>
      </c>
      <c r="I19" s="636"/>
      <c r="J19" s="636"/>
      <c r="K19" s="637"/>
    </row>
    <row r="20" spans="1:11" s="2" customFormat="1">
      <c r="A20" s="3">
        <v>1</v>
      </c>
      <c r="B20" s="866" t="s">
        <v>243</v>
      </c>
      <c r="C20" s="151" t="s">
        <v>128</v>
      </c>
      <c r="D20" s="591"/>
      <c r="E20" s="592"/>
      <c r="F20" s="592"/>
      <c r="G20" s="592"/>
      <c r="H20" s="592"/>
      <c r="I20" s="592"/>
      <c r="J20" s="592"/>
      <c r="K20" s="602"/>
    </row>
    <row r="21" spans="1:11" s="2" customFormat="1">
      <c r="A21" s="3">
        <v>2</v>
      </c>
      <c r="B21" s="866" t="s">
        <v>243</v>
      </c>
      <c r="C21" s="151" t="s">
        <v>128</v>
      </c>
      <c r="D21" s="593"/>
      <c r="E21" s="594"/>
      <c r="F21" s="594"/>
      <c r="G21" s="594"/>
      <c r="H21" s="594"/>
      <c r="I21" s="594"/>
      <c r="J21" s="594"/>
      <c r="K21" s="603"/>
    </row>
    <row r="22" spans="1:11" s="2" customFormat="1">
      <c r="A22" s="3">
        <v>3</v>
      </c>
      <c r="B22" s="866" t="s">
        <v>243</v>
      </c>
      <c r="C22" s="151" t="s">
        <v>128</v>
      </c>
      <c r="D22" s="593"/>
      <c r="E22" s="594"/>
      <c r="F22" s="594"/>
      <c r="G22" s="594"/>
      <c r="H22" s="594"/>
      <c r="I22" s="594"/>
      <c r="J22" s="594"/>
      <c r="K22" s="603"/>
    </row>
    <row r="23" spans="1:11" s="2" customFormat="1">
      <c r="B23" s="12" t="s">
        <v>167</v>
      </c>
      <c r="C23" s="151" t="s">
        <v>128</v>
      </c>
      <c r="D23" s="607">
        <f>SUM(D18:D22)</f>
        <v>193.90768984000022</v>
      </c>
      <c r="E23" s="608">
        <f t="shared" ref="E23:K23" si="2">SUM(E18:E22)</f>
        <v>184.82256214</v>
      </c>
      <c r="F23" s="608">
        <f t="shared" si="2"/>
        <v>191.60382358000004</v>
      </c>
      <c r="G23" s="608">
        <f t="shared" si="2"/>
        <v>207.09479570000002</v>
      </c>
      <c r="H23" s="608">
        <f t="shared" si="2"/>
        <v>190.58833279999999</v>
      </c>
      <c r="I23" s="608">
        <f t="shared" si="2"/>
        <v>0</v>
      </c>
      <c r="J23" s="608">
        <f t="shared" si="2"/>
        <v>0</v>
      </c>
      <c r="K23" s="609">
        <f t="shared" si="2"/>
        <v>0</v>
      </c>
    </row>
    <row r="24" spans="1:11" s="2" customFormat="1">
      <c r="C24" s="135"/>
      <c r="D24" s="52"/>
      <c r="E24" s="52"/>
      <c r="F24" s="52"/>
      <c r="G24" s="52"/>
      <c r="H24" s="52"/>
      <c r="I24" s="52"/>
      <c r="J24" s="52"/>
      <c r="K24" s="52"/>
    </row>
    <row r="25" spans="1:11" s="2" customFormat="1">
      <c r="B25" s="12" t="s">
        <v>445</v>
      </c>
      <c r="C25" s="151" t="s">
        <v>128</v>
      </c>
      <c r="D25" s="54"/>
    </row>
    <row r="26" spans="1:11" s="2" customFormat="1">
      <c r="A26" s="3">
        <v>1</v>
      </c>
      <c r="B26" s="517" t="s">
        <v>585</v>
      </c>
      <c r="C26" s="151" t="s">
        <v>128</v>
      </c>
      <c r="D26" s="591">
        <v>1.0396000000000001</v>
      </c>
      <c r="E26" s="592">
        <v>-0.1</v>
      </c>
      <c r="F26" s="592">
        <v>-0.1</v>
      </c>
      <c r="G26" s="592">
        <v>-0.1</v>
      </c>
      <c r="H26" s="592">
        <v>0.1</v>
      </c>
      <c r="I26" s="592"/>
      <c r="J26" s="592"/>
      <c r="K26" s="602"/>
    </row>
    <row r="27" spans="1:11" s="2" customFormat="1">
      <c r="A27" s="3">
        <v>2</v>
      </c>
      <c r="B27" s="517" t="s">
        <v>586</v>
      </c>
      <c r="C27" s="151" t="s">
        <v>128</v>
      </c>
      <c r="D27" s="593">
        <v>-5.4570280000000002</v>
      </c>
      <c r="E27" s="594">
        <v>-5.4585019199999998</v>
      </c>
      <c r="F27" s="594">
        <v>-5.0146439599999999</v>
      </c>
      <c r="G27" s="594">
        <v>-5.3433354299999998</v>
      </c>
      <c r="H27" s="594">
        <v>-5.6345033200000003</v>
      </c>
      <c r="I27" s="594"/>
      <c r="J27" s="594"/>
      <c r="K27" s="603"/>
    </row>
    <row r="28" spans="1:11" s="2" customFormat="1">
      <c r="A28" s="3">
        <v>3</v>
      </c>
      <c r="B28" s="517" t="s">
        <v>587</v>
      </c>
      <c r="C28" s="151" t="s">
        <v>128</v>
      </c>
      <c r="D28" s="593">
        <v>31.192900000000002</v>
      </c>
      <c r="E28" s="594">
        <v>-1.2065092695000046</v>
      </c>
      <c r="F28" s="594">
        <v>1.8832032599999997</v>
      </c>
      <c r="G28" s="594">
        <v>-1.10906919</v>
      </c>
      <c r="H28" s="594">
        <v>-0.96646897999999992</v>
      </c>
      <c r="I28" s="594"/>
      <c r="J28" s="594"/>
      <c r="K28" s="603"/>
    </row>
    <row r="29" spans="1:11" s="2" customFormat="1">
      <c r="A29" s="3">
        <v>4</v>
      </c>
      <c r="B29" s="517" t="s">
        <v>588</v>
      </c>
      <c r="C29" s="151" t="s">
        <v>128</v>
      </c>
      <c r="D29" s="593">
        <v>0.68873906000000007</v>
      </c>
      <c r="E29" s="594">
        <v>-0.29580800000000002</v>
      </c>
      <c r="F29" s="594">
        <v>-0.419545</v>
      </c>
      <c r="G29" s="594">
        <v>-1.8498205700000001</v>
      </c>
      <c r="H29" s="594">
        <v>1.60004605</v>
      </c>
      <c r="I29" s="594"/>
      <c r="J29" s="594"/>
      <c r="K29" s="603"/>
    </row>
    <row r="30" spans="1:11" s="2" customFormat="1">
      <c r="A30" s="3">
        <v>5</v>
      </c>
      <c r="B30" s="517" t="s">
        <v>589</v>
      </c>
      <c r="C30" s="151" t="s">
        <v>128</v>
      </c>
      <c r="D30" s="593">
        <v>0.39391049650000021</v>
      </c>
      <c r="E30" s="594">
        <v>0.78517884749999989</v>
      </c>
      <c r="F30" s="594">
        <v>0.29738070350000001</v>
      </c>
      <c r="G30" s="594">
        <v>0.25759861649999999</v>
      </c>
      <c r="H30" s="594">
        <v>0.70980070249999994</v>
      </c>
      <c r="I30" s="594"/>
      <c r="J30" s="594"/>
      <c r="K30" s="603"/>
    </row>
    <row r="31" spans="1:11" s="2" customFormat="1">
      <c r="A31" s="3">
        <v>6</v>
      </c>
      <c r="B31" s="517" t="s">
        <v>590</v>
      </c>
      <c r="C31" s="151" t="s">
        <v>128</v>
      </c>
      <c r="D31" s="593">
        <v>-1.4129990700000001</v>
      </c>
      <c r="E31" s="594">
        <v>-1.5781962919999999</v>
      </c>
      <c r="F31" s="594">
        <v>-1.9098928800000003</v>
      </c>
      <c r="G31" s="594">
        <v>-1.71462746</v>
      </c>
      <c r="H31" s="594">
        <v>-2.0708793299900004</v>
      </c>
      <c r="I31" s="594"/>
      <c r="J31" s="594"/>
      <c r="K31" s="603"/>
    </row>
    <row r="32" spans="1:11" s="2" customFormat="1">
      <c r="A32" s="3">
        <v>7</v>
      </c>
      <c r="B32" s="517" t="s">
        <v>591</v>
      </c>
      <c r="C32" s="151" t="s">
        <v>128</v>
      </c>
      <c r="D32" s="593">
        <v>0.33719300000000002</v>
      </c>
      <c r="E32" s="594">
        <v>0.35262568001</v>
      </c>
      <c r="F32" s="594">
        <v>0.27200004</v>
      </c>
      <c r="G32" s="594">
        <v>0.27158536</v>
      </c>
      <c r="H32" s="594">
        <v>0.24219570000000001</v>
      </c>
      <c r="I32" s="594"/>
      <c r="J32" s="594"/>
      <c r="K32" s="603"/>
    </row>
    <row r="33" spans="1:11" s="2" customFormat="1">
      <c r="A33" s="3">
        <v>8</v>
      </c>
      <c r="B33" s="517" t="s">
        <v>592</v>
      </c>
      <c r="C33" s="151" t="s">
        <v>128</v>
      </c>
      <c r="D33" s="593">
        <v>-0.45589822466792673</v>
      </c>
      <c r="E33" s="594">
        <v>-0.41012676310229507</v>
      </c>
      <c r="F33" s="594">
        <v>-0.47261780472367554</v>
      </c>
      <c r="G33" s="594">
        <v>-0.54325863703113997</v>
      </c>
      <c r="H33" s="594">
        <v>-0.15905017168242458</v>
      </c>
      <c r="I33" s="594"/>
      <c r="J33" s="594"/>
      <c r="K33" s="603"/>
    </row>
    <row r="34" spans="1:11" s="2" customFormat="1">
      <c r="A34" s="3">
        <v>9</v>
      </c>
      <c r="B34" s="517" t="s">
        <v>593</v>
      </c>
      <c r="C34" s="151" t="s">
        <v>128</v>
      </c>
      <c r="D34" s="593">
        <v>-7.75910900655217</v>
      </c>
      <c r="E34" s="594">
        <v>1.6862300000000006</v>
      </c>
      <c r="F34" s="594">
        <v>0.97299999999999998</v>
      </c>
      <c r="G34" s="594">
        <v>-1.3629589999999998</v>
      </c>
      <c r="H34" s="594">
        <v>2.6092878275000002</v>
      </c>
      <c r="I34" s="594"/>
      <c r="J34" s="594"/>
      <c r="K34" s="603"/>
    </row>
    <row r="35" spans="1:11" s="2" customFormat="1">
      <c r="A35" s="3">
        <v>10</v>
      </c>
      <c r="B35" s="517" t="s">
        <v>594</v>
      </c>
      <c r="C35" s="151" t="s">
        <v>128</v>
      </c>
      <c r="D35" s="593">
        <v>-3.7117371022943892</v>
      </c>
      <c r="E35" s="594">
        <v>27.706819089400621</v>
      </c>
      <c r="F35" s="594">
        <v>0.5210999999999999</v>
      </c>
      <c r="G35" s="594">
        <v>26.331793835058487</v>
      </c>
      <c r="H35" s="594">
        <v>25.986946830346387</v>
      </c>
      <c r="I35" s="594"/>
      <c r="J35" s="594"/>
      <c r="K35" s="603"/>
    </row>
    <row r="36" spans="1:11" s="2" customFormat="1">
      <c r="A36" s="3">
        <v>11</v>
      </c>
      <c r="B36" s="517" t="s">
        <v>595</v>
      </c>
      <c r="C36" s="151" t="s">
        <v>128</v>
      </c>
      <c r="D36" s="593">
        <v>0.76063291</v>
      </c>
      <c r="E36" s="594">
        <v>39.195450905802133</v>
      </c>
      <c r="F36" s="594">
        <v>-10.05731001945043</v>
      </c>
      <c r="G36" s="594">
        <v>-0.54239722266319568</v>
      </c>
      <c r="H36" s="594">
        <v>0</v>
      </c>
      <c r="I36" s="594"/>
      <c r="J36" s="594"/>
      <c r="K36" s="603"/>
    </row>
    <row r="37" spans="1:11" s="2" customFormat="1">
      <c r="A37" s="3">
        <v>12</v>
      </c>
      <c r="B37" s="517" t="s">
        <v>596</v>
      </c>
      <c r="C37" s="151" t="s">
        <v>128</v>
      </c>
      <c r="D37" s="593">
        <v>0</v>
      </c>
      <c r="E37" s="594">
        <v>-0.5031919775</v>
      </c>
      <c r="F37" s="594">
        <v>-4.0894021546981687</v>
      </c>
      <c r="G37" s="594">
        <v>-3.44398225902194</v>
      </c>
      <c r="H37" s="594">
        <v>-3.6798658125219408</v>
      </c>
      <c r="I37" s="594"/>
      <c r="J37" s="594"/>
      <c r="K37" s="603"/>
    </row>
    <row r="38" spans="1:11" s="2" customFormat="1">
      <c r="A38" s="3">
        <v>13</v>
      </c>
      <c r="B38" s="517" t="s">
        <v>597</v>
      </c>
      <c r="C38" s="151" t="s">
        <v>128</v>
      </c>
      <c r="D38" s="593">
        <v>0</v>
      </c>
      <c r="E38" s="594">
        <v>0</v>
      </c>
      <c r="F38" s="594">
        <v>-0.1537544849293595</v>
      </c>
      <c r="G38" s="594">
        <v>-0.15493562321765042</v>
      </c>
      <c r="H38" s="594">
        <v>-0.20392383691013777</v>
      </c>
      <c r="I38" s="594"/>
      <c r="J38" s="594"/>
      <c r="K38" s="603"/>
    </row>
    <row r="39" spans="1:11" s="2" customFormat="1">
      <c r="A39" s="3">
        <v>14</v>
      </c>
      <c r="B39" s="517" t="s">
        <v>598</v>
      </c>
      <c r="C39" s="151" t="s">
        <v>128</v>
      </c>
      <c r="D39" s="593">
        <v>-0.20930000000000001</v>
      </c>
      <c r="E39" s="594">
        <v>0</v>
      </c>
      <c r="F39" s="594">
        <v>0</v>
      </c>
      <c r="G39" s="594">
        <v>0</v>
      </c>
      <c r="H39" s="594">
        <v>0</v>
      </c>
      <c r="I39" s="594"/>
      <c r="J39" s="594"/>
      <c r="K39" s="603"/>
    </row>
    <row r="40" spans="1:11" s="2" customFormat="1">
      <c r="A40" s="3">
        <v>15</v>
      </c>
      <c r="B40" s="517" t="s">
        <v>599</v>
      </c>
      <c r="C40" s="151" t="s">
        <v>128</v>
      </c>
      <c r="D40" s="593">
        <v>-1.3</v>
      </c>
      <c r="E40" s="594">
        <v>1.1000000000000001</v>
      </c>
      <c r="F40" s="594">
        <v>0.65</v>
      </c>
      <c r="G40" s="594">
        <v>6.9452835387892264E-2</v>
      </c>
      <c r="H40" s="594">
        <v>3.1726732557302739E-2</v>
      </c>
      <c r="I40" s="594"/>
      <c r="J40" s="594"/>
      <c r="K40" s="603"/>
    </row>
    <row r="41" spans="1:11" s="2" customFormat="1">
      <c r="A41" s="3">
        <v>16</v>
      </c>
      <c r="B41" s="517" t="s">
        <v>600</v>
      </c>
      <c r="C41" s="151" t="s">
        <v>128</v>
      </c>
      <c r="D41" s="593">
        <v>0</v>
      </c>
      <c r="E41" s="594">
        <v>0</v>
      </c>
      <c r="F41" s="594">
        <v>0</v>
      </c>
      <c r="G41" s="594">
        <v>-1</v>
      </c>
      <c r="H41" s="594">
        <v>0</v>
      </c>
      <c r="I41" s="594"/>
      <c r="J41" s="594"/>
      <c r="K41" s="603"/>
    </row>
    <row r="42" spans="1:11" s="2" customFormat="1">
      <c r="A42" s="3">
        <v>17</v>
      </c>
      <c r="B42" s="517" t="s">
        <v>605</v>
      </c>
      <c r="C42" s="151" t="s">
        <v>128</v>
      </c>
      <c r="D42" s="593">
        <v>0</v>
      </c>
      <c r="E42" s="594">
        <v>0</v>
      </c>
      <c r="F42" s="594">
        <v>0</v>
      </c>
      <c r="G42" s="594">
        <v>0.55700000000000005</v>
      </c>
      <c r="H42" s="594">
        <v>0.25425180479999998</v>
      </c>
      <c r="I42" s="594"/>
      <c r="J42" s="594"/>
      <c r="K42" s="603"/>
    </row>
    <row r="43" spans="1:11" s="2" customFormat="1">
      <c r="A43" s="3">
        <v>18</v>
      </c>
      <c r="B43" s="517" t="s">
        <v>631</v>
      </c>
      <c r="C43" s="151" t="s">
        <v>128</v>
      </c>
      <c r="D43" s="593">
        <v>0</v>
      </c>
      <c r="E43" s="594">
        <v>0</v>
      </c>
      <c r="F43" s="594">
        <v>0</v>
      </c>
      <c r="G43" s="594">
        <v>0</v>
      </c>
      <c r="H43" s="594">
        <v>0.2619368097708048</v>
      </c>
      <c r="I43" s="594"/>
      <c r="J43" s="594"/>
      <c r="K43" s="603"/>
    </row>
    <row r="44" spans="1:11" s="2" customFormat="1">
      <c r="A44" s="3">
        <v>19</v>
      </c>
      <c r="B44" s="947" t="s">
        <v>652</v>
      </c>
      <c r="C44" s="151" t="s">
        <v>128</v>
      </c>
      <c r="D44" s="593"/>
      <c r="E44" s="594"/>
      <c r="F44" s="594"/>
      <c r="G44" s="594"/>
      <c r="H44" s="948">
        <v>0.33864498232151163</v>
      </c>
      <c r="I44" s="594"/>
      <c r="J44" s="594"/>
      <c r="K44" s="603"/>
    </row>
    <row r="45" spans="1:11" s="2" customFormat="1">
      <c r="A45" s="3">
        <v>20</v>
      </c>
      <c r="B45" s="517" t="s">
        <v>243</v>
      </c>
      <c r="C45" s="151" t="s">
        <v>128</v>
      </c>
      <c r="D45" s="593"/>
      <c r="E45" s="594"/>
      <c r="F45" s="594"/>
      <c r="G45" s="594"/>
      <c r="H45" s="594"/>
      <c r="I45" s="594"/>
      <c r="J45" s="594"/>
      <c r="K45" s="603"/>
    </row>
    <row r="46" spans="1:11" s="2" customFormat="1">
      <c r="B46" s="12" t="s">
        <v>398</v>
      </c>
      <c r="C46" s="151" t="s">
        <v>128</v>
      </c>
      <c r="D46" s="607">
        <f>SUM(D26:D45)</f>
        <v>14.106904062985514</v>
      </c>
      <c r="E46" s="608">
        <f t="shared" ref="E46:K46" si="3">SUM(E26:E45)</f>
        <v>61.273970300610458</v>
      </c>
      <c r="F46" s="608">
        <f t="shared" si="3"/>
        <v>-17.620482300301632</v>
      </c>
      <c r="G46" s="608">
        <f t="shared" si="3"/>
        <v>10.323045255012453</v>
      </c>
      <c r="H46" s="608">
        <f t="shared" si="3"/>
        <v>19.420145988691502</v>
      </c>
      <c r="I46" s="608">
        <f t="shared" si="3"/>
        <v>0</v>
      </c>
      <c r="J46" s="608">
        <f t="shared" si="3"/>
        <v>0</v>
      </c>
      <c r="K46" s="609">
        <f t="shared" si="3"/>
        <v>0</v>
      </c>
    </row>
    <row r="47" spans="1:11" s="2" customFormat="1">
      <c r="C47" s="135"/>
      <c r="D47" s="53"/>
      <c r="E47" s="52"/>
      <c r="F47" s="52"/>
      <c r="G47" s="52"/>
      <c r="H47" s="52"/>
      <c r="I47" s="52"/>
      <c r="J47" s="52"/>
      <c r="K47" s="52"/>
    </row>
    <row r="48" spans="1:11" s="2" customFormat="1">
      <c r="B48" s="12" t="s">
        <v>444</v>
      </c>
      <c r="C48" s="151" t="s">
        <v>128</v>
      </c>
      <c r="D48" s="607">
        <f>D46+D23</f>
        <v>208.01459390298572</v>
      </c>
      <c r="E48" s="608">
        <f t="shared" ref="E48:K48" si="4">E46+E23</f>
        <v>246.09653244061047</v>
      </c>
      <c r="F48" s="608">
        <f t="shared" si="4"/>
        <v>173.98334127969841</v>
      </c>
      <c r="G48" s="608">
        <f t="shared" si="4"/>
        <v>217.41784095501248</v>
      </c>
      <c r="H48" s="608">
        <f t="shared" si="4"/>
        <v>210.00847878869149</v>
      </c>
      <c r="I48" s="608">
        <f t="shared" si="4"/>
        <v>0</v>
      </c>
      <c r="J48" s="608">
        <f t="shared" si="4"/>
        <v>0</v>
      </c>
      <c r="K48" s="609">
        <f t="shared" si="4"/>
        <v>0</v>
      </c>
    </row>
    <row r="49" spans="1:11" s="2" customFormat="1">
      <c r="B49" s="2" t="s">
        <v>399</v>
      </c>
      <c r="C49" s="151" t="s">
        <v>128</v>
      </c>
      <c r="D49" s="591">
        <v>208.02249999999998</v>
      </c>
      <c r="E49" s="592">
        <v>246.06004527566154</v>
      </c>
      <c r="F49" s="592">
        <v>173.96305819614943</v>
      </c>
      <c r="G49" s="592">
        <v>217.43215200686964</v>
      </c>
      <c r="H49" s="951">
        <v>210.00778506462154</v>
      </c>
      <c r="I49" s="592"/>
      <c r="J49" s="592"/>
      <c r="K49" s="602"/>
    </row>
    <row r="50" spans="1:11" s="2" customFormat="1">
      <c r="C50" s="135" t="s">
        <v>402</v>
      </c>
      <c r="D50" s="638" t="str">
        <f>IF(D$5="Actuals",IF(ABS(D48-D49)&lt;1,"OK","ERROR"),"N/A")</f>
        <v>OK</v>
      </c>
      <c r="E50" s="639" t="str">
        <f t="shared" ref="E50:K50" si="5">IF(E$5="Actuals",IF(ABS(E48-E49)&lt;1,"OK","ERROR"),"N/A")</f>
        <v>OK</v>
      </c>
      <c r="F50" s="639" t="str">
        <f t="shared" si="5"/>
        <v>OK</v>
      </c>
      <c r="G50" s="639" t="str">
        <f t="shared" si="5"/>
        <v>OK</v>
      </c>
      <c r="H50" s="639" t="str">
        <f t="shared" si="5"/>
        <v>OK</v>
      </c>
      <c r="I50" s="639" t="str">
        <f t="shared" si="5"/>
        <v>N/A</v>
      </c>
      <c r="J50" s="639" t="str">
        <f t="shared" si="5"/>
        <v>N/A</v>
      </c>
      <c r="K50" s="640" t="str">
        <f t="shared" si="5"/>
        <v>N/A</v>
      </c>
    </row>
    <row r="51" spans="1:11" s="2" customFormat="1">
      <c r="B51" s="2" t="s">
        <v>84</v>
      </c>
      <c r="C51" s="135"/>
      <c r="D51" s="54"/>
    </row>
    <row r="52" spans="1:11" s="2" customFormat="1">
      <c r="B52" s="12" t="s">
        <v>400</v>
      </c>
      <c r="C52" s="151"/>
      <c r="D52" s="54"/>
    </row>
    <row r="53" spans="1:11" s="2" customFormat="1">
      <c r="A53" s="3">
        <v>1</v>
      </c>
      <c r="B53" s="516" t="s">
        <v>601</v>
      </c>
      <c r="C53" s="151" t="s">
        <v>128</v>
      </c>
      <c r="D53" s="591">
        <v>29.483699999999995</v>
      </c>
      <c r="E53" s="592">
        <v>28.276400000000002</v>
      </c>
      <c r="F53" s="592">
        <v>25.249499999999998</v>
      </c>
      <c r="G53" s="592">
        <v>26.872692212800001</v>
      </c>
      <c r="H53" s="592">
        <v>27.215951804800007</v>
      </c>
      <c r="I53" s="592"/>
      <c r="J53" s="592"/>
      <c r="K53" s="602"/>
    </row>
    <row r="54" spans="1:11" s="2" customFormat="1">
      <c r="A54" s="3">
        <v>2</v>
      </c>
      <c r="B54" s="516" t="s">
        <v>602</v>
      </c>
      <c r="C54" s="151" t="s">
        <v>128</v>
      </c>
      <c r="D54" s="593">
        <v>26.028500000000001</v>
      </c>
      <c r="E54" s="594">
        <v>54.065297091412312</v>
      </c>
      <c r="F54" s="594">
        <v>-1.3815976000000003</v>
      </c>
      <c r="G54" s="594">
        <v>25.458667759999997</v>
      </c>
      <c r="H54" s="594">
        <v>24.580086860000002</v>
      </c>
      <c r="I54" s="594"/>
      <c r="J54" s="594"/>
      <c r="K54" s="603"/>
    </row>
    <row r="55" spans="1:11" s="2" customFormat="1">
      <c r="A55" s="3">
        <v>3</v>
      </c>
      <c r="B55" s="516" t="s">
        <v>603</v>
      </c>
      <c r="C55" s="151" t="s">
        <v>128</v>
      </c>
      <c r="D55" s="593">
        <v>7.5765000000000011</v>
      </c>
      <c r="E55" s="594">
        <v>9.9310702201766432</v>
      </c>
      <c r="F55" s="594">
        <v>9.5063704890174652</v>
      </c>
      <c r="G55" s="594">
        <v>14.28863393050872</v>
      </c>
      <c r="H55" s="594">
        <v>12.121766762703935</v>
      </c>
      <c r="I55" s="594"/>
      <c r="J55" s="594"/>
      <c r="K55" s="603"/>
    </row>
    <row r="56" spans="1:11" s="2" customFormat="1">
      <c r="A56" s="3">
        <v>4</v>
      </c>
      <c r="B56" s="516" t="s">
        <v>604</v>
      </c>
      <c r="C56" s="151" t="s">
        <v>128</v>
      </c>
      <c r="D56" s="593">
        <v>2.9344000000000006</v>
      </c>
      <c r="E56" s="594">
        <v>3.0134000000000003</v>
      </c>
      <c r="F56" s="594">
        <v>3.0656558699999996</v>
      </c>
      <c r="G56" s="594">
        <v>2.9035633600000001</v>
      </c>
      <c r="H56" s="594">
        <v>2.6428114537988834</v>
      </c>
      <c r="I56" s="594"/>
      <c r="J56" s="594"/>
      <c r="K56" s="603"/>
    </row>
    <row r="57" spans="1:11" s="2" customFormat="1">
      <c r="A57" s="3">
        <v>5</v>
      </c>
      <c r="B57" s="516" t="s">
        <v>243</v>
      </c>
      <c r="C57" s="151" t="s">
        <v>128</v>
      </c>
      <c r="D57" s="593"/>
      <c r="E57" s="594"/>
      <c r="F57" s="594"/>
      <c r="G57" s="594"/>
      <c r="H57" s="594"/>
      <c r="I57" s="594"/>
      <c r="J57" s="594"/>
      <c r="K57" s="603"/>
    </row>
    <row r="58" spans="1:11" s="2" customFormat="1">
      <c r="A58" s="3">
        <v>6</v>
      </c>
      <c r="B58" s="516" t="s">
        <v>243</v>
      </c>
      <c r="C58" s="151" t="s">
        <v>128</v>
      </c>
      <c r="D58" s="593"/>
      <c r="E58" s="594"/>
      <c r="F58" s="594"/>
      <c r="G58" s="594"/>
      <c r="H58" s="594"/>
      <c r="I58" s="594"/>
      <c r="J58" s="594"/>
      <c r="K58" s="603"/>
    </row>
    <row r="59" spans="1:11" s="2" customFormat="1">
      <c r="A59" s="3">
        <v>7</v>
      </c>
      <c r="B59" s="516" t="s">
        <v>243</v>
      </c>
      <c r="C59" s="151" t="s">
        <v>128</v>
      </c>
      <c r="D59" s="593"/>
      <c r="E59" s="594"/>
      <c r="F59" s="594"/>
      <c r="G59" s="594"/>
      <c r="H59" s="594"/>
      <c r="I59" s="594"/>
      <c r="J59" s="594"/>
      <c r="K59" s="603"/>
    </row>
    <row r="60" spans="1:11" s="2" customFormat="1">
      <c r="A60" s="3">
        <v>8</v>
      </c>
      <c r="B60" s="516" t="s">
        <v>243</v>
      </c>
      <c r="C60" s="151" t="s">
        <v>128</v>
      </c>
      <c r="D60" s="593"/>
      <c r="E60" s="594"/>
      <c r="F60" s="594"/>
      <c r="G60" s="594"/>
      <c r="H60" s="594"/>
      <c r="I60" s="594"/>
      <c r="J60" s="594"/>
      <c r="K60" s="603"/>
    </row>
    <row r="61" spans="1:11" s="2" customFormat="1">
      <c r="A61" s="3">
        <v>9</v>
      </c>
      <c r="B61" s="516" t="s">
        <v>243</v>
      </c>
      <c r="C61" s="151" t="s">
        <v>128</v>
      </c>
      <c r="D61" s="593"/>
      <c r="E61" s="594"/>
      <c r="F61" s="594"/>
      <c r="G61" s="594"/>
      <c r="H61" s="594"/>
      <c r="I61" s="594"/>
      <c r="J61" s="594"/>
      <c r="K61" s="603"/>
    </row>
    <row r="62" spans="1:11" s="2" customFormat="1">
      <c r="A62" s="3">
        <v>10</v>
      </c>
      <c r="B62" s="516" t="s">
        <v>243</v>
      </c>
      <c r="C62" s="151" t="s">
        <v>128</v>
      </c>
      <c r="D62" s="593"/>
      <c r="E62" s="594"/>
      <c r="F62" s="594"/>
      <c r="G62" s="594"/>
      <c r="H62" s="594"/>
      <c r="I62" s="594"/>
      <c r="J62" s="594"/>
      <c r="K62" s="603"/>
    </row>
    <row r="63" spans="1:11" s="2" customFormat="1">
      <c r="A63" s="3">
        <v>11</v>
      </c>
      <c r="B63" s="516" t="s">
        <v>243</v>
      </c>
      <c r="C63" s="151" t="s">
        <v>128</v>
      </c>
      <c r="D63" s="593"/>
      <c r="E63" s="594"/>
      <c r="F63" s="594"/>
      <c r="G63" s="594"/>
      <c r="H63" s="594"/>
      <c r="I63" s="594"/>
      <c r="J63" s="594"/>
      <c r="K63" s="603"/>
    </row>
    <row r="64" spans="1:11" s="2" customFormat="1">
      <c r="A64" s="3">
        <v>12</v>
      </c>
      <c r="B64" s="516" t="s">
        <v>243</v>
      </c>
      <c r="C64" s="151" t="s">
        <v>128</v>
      </c>
      <c r="D64" s="593"/>
      <c r="E64" s="594"/>
      <c r="F64" s="594"/>
      <c r="G64" s="594"/>
      <c r="H64" s="594"/>
      <c r="I64" s="594"/>
      <c r="J64" s="594"/>
      <c r="K64" s="603"/>
    </row>
    <row r="65" spans="1:11" s="2" customFormat="1">
      <c r="A65" s="3">
        <v>13</v>
      </c>
      <c r="B65" s="516" t="s">
        <v>243</v>
      </c>
      <c r="C65" s="151" t="s">
        <v>128</v>
      </c>
      <c r="D65" s="593"/>
      <c r="E65" s="594"/>
      <c r="F65" s="594"/>
      <c r="G65" s="594"/>
      <c r="H65" s="594"/>
      <c r="I65" s="594"/>
      <c r="J65" s="594"/>
      <c r="K65" s="603"/>
    </row>
    <row r="66" spans="1:11" s="2" customFormat="1">
      <c r="A66" s="3">
        <v>14</v>
      </c>
      <c r="B66" s="516" t="s">
        <v>243</v>
      </c>
      <c r="C66" s="151" t="s">
        <v>128</v>
      </c>
      <c r="D66" s="593"/>
      <c r="E66" s="594"/>
      <c r="F66" s="594"/>
      <c r="G66" s="594"/>
      <c r="H66" s="594"/>
      <c r="I66" s="594"/>
      <c r="J66" s="594"/>
      <c r="K66" s="603"/>
    </row>
    <row r="67" spans="1:11" s="2" customFormat="1">
      <c r="A67" s="3">
        <v>15</v>
      </c>
      <c r="B67" s="516" t="s">
        <v>243</v>
      </c>
      <c r="C67" s="151" t="s">
        <v>128</v>
      </c>
      <c r="D67" s="593"/>
      <c r="E67" s="594"/>
      <c r="F67" s="594"/>
      <c r="G67" s="594"/>
      <c r="H67" s="594"/>
      <c r="I67" s="594"/>
      <c r="J67" s="594"/>
      <c r="K67" s="603"/>
    </row>
    <row r="68" spans="1:11" s="2" customFormat="1">
      <c r="A68" s="3">
        <v>16</v>
      </c>
      <c r="B68" s="516" t="s">
        <v>243</v>
      </c>
      <c r="C68" s="151" t="s">
        <v>128</v>
      </c>
      <c r="D68" s="593"/>
      <c r="E68" s="594"/>
      <c r="F68" s="594"/>
      <c r="G68" s="594"/>
      <c r="H68" s="594"/>
      <c r="I68" s="594"/>
      <c r="J68" s="594"/>
      <c r="K68" s="603"/>
    </row>
    <row r="69" spans="1:11" s="2" customFormat="1">
      <c r="A69" s="3">
        <v>17</v>
      </c>
      <c r="B69" s="516" t="s">
        <v>243</v>
      </c>
      <c r="C69" s="151" t="s">
        <v>128</v>
      </c>
      <c r="D69" s="593"/>
      <c r="E69" s="594"/>
      <c r="F69" s="594"/>
      <c r="G69" s="594"/>
      <c r="H69" s="594"/>
      <c r="I69" s="594"/>
      <c r="J69" s="594"/>
      <c r="K69" s="603"/>
    </row>
    <row r="70" spans="1:11" s="2" customFormat="1">
      <c r="A70" s="3">
        <v>18</v>
      </c>
      <c r="B70" s="516" t="s">
        <v>243</v>
      </c>
      <c r="C70" s="151" t="s">
        <v>128</v>
      </c>
      <c r="D70" s="593"/>
      <c r="E70" s="594"/>
      <c r="F70" s="594"/>
      <c r="G70" s="594"/>
      <c r="H70" s="594"/>
      <c r="I70" s="594"/>
      <c r="J70" s="594"/>
      <c r="K70" s="603"/>
    </row>
    <row r="71" spans="1:11" s="2" customFormat="1">
      <c r="A71" s="3">
        <v>19</v>
      </c>
      <c r="B71" s="516" t="s">
        <v>243</v>
      </c>
      <c r="C71" s="151" t="s">
        <v>128</v>
      </c>
      <c r="D71" s="593"/>
      <c r="E71" s="594"/>
      <c r="F71" s="594"/>
      <c r="G71" s="594"/>
      <c r="H71" s="594"/>
      <c r="I71" s="594"/>
      <c r="J71" s="594"/>
      <c r="K71" s="603"/>
    </row>
    <row r="72" spans="1:11" s="2" customFormat="1">
      <c r="A72" s="3">
        <v>20</v>
      </c>
      <c r="B72" s="516" t="s">
        <v>243</v>
      </c>
      <c r="C72" s="151" t="s">
        <v>128</v>
      </c>
      <c r="D72" s="593"/>
      <c r="E72" s="594"/>
      <c r="F72" s="594"/>
      <c r="G72" s="594"/>
      <c r="H72" s="594"/>
      <c r="I72" s="594"/>
      <c r="J72" s="594"/>
      <c r="K72" s="603"/>
    </row>
    <row r="73" spans="1:11" s="2" customFormat="1">
      <c r="A73" s="3">
        <v>21</v>
      </c>
      <c r="B73" s="516" t="s">
        <v>243</v>
      </c>
      <c r="C73" s="151" t="s">
        <v>128</v>
      </c>
      <c r="D73" s="593"/>
      <c r="E73" s="594"/>
      <c r="F73" s="594"/>
      <c r="G73" s="594"/>
      <c r="H73" s="594"/>
      <c r="I73" s="594"/>
      <c r="J73" s="594"/>
      <c r="K73" s="603"/>
    </row>
    <row r="74" spans="1:11" s="2" customFormat="1">
      <c r="A74" s="3">
        <v>22</v>
      </c>
      <c r="B74" s="516" t="s">
        <v>243</v>
      </c>
      <c r="C74" s="151" t="s">
        <v>128</v>
      </c>
      <c r="D74" s="593"/>
      <c r="E74" s="594"/>
      <c r="F74" s="594"/>
      <c r="G74" s="594"/>
      <c r="H74" s="594"/>
      <c r="I74" s="594"/>
      <c r="J74" s="594"/>
      <c r="K74" s="603"/>
    </row>
    <row r="75" spans="1:11" s="2" customFormat="1">
      <c r="A75" s="3">
        <v>23</v>
      </c>
      <c r="B75" s="516" t="s">
        <v>243</v>
      </c>
      <c r="C75" s="151" t="s">
        <v>128</v>
      </c>
      <c r="D75" s="593"/>
      <c r="E75" s="594"/>
      <c r="F75" s="594"/>
      <c r="G75" s="594"/>
      <c r="H75" s="594"/>
      <c r="I75" s="594"/>
      <c r="J75" s="594"/>
      <c r="K75" s="603"/>
    </row>
    <row r="76" spans="1:11" s="2" customFormat="1">
      <c r="A76" s="3">
        <v>24</v>
      </c>
      <c r="B76" s="516" t="s">
        <v>243</v>
      </c>
      <c r="C76" s="151" t="s">
        <v>128</v>
      </c>
      <c r="D76" s="593"/>
      <c r="E76" s="594"/>
      <c r="F76" s="594"/>
      <c r="G76" s="594"/>
      <c r="H76" s="594"/>
      <c r="I76" s="594"/>
      <c r="J76" s="594"/>
      <c r="K76" s="603"/>
    </row>
    <row r="77" spans="1:11" s="2" customFormat="1">
      <c r="A77" s="3">
        <v>25</v>
      </c>
      <c r="B77" s="516" t="s">
        <v>243</v>
      </c>
      <c r="C77" s="151" t="s">
        <v>128</v>
      </c>
      <c r="D77" s="629"/>
      <c r="E77" s="630"/>
      <c r="F77" s="630"/>
      <c r="G77" s="630"/>
      <c r="H77" s="630"/>
      <c r="I77" s="630"/>
      <c r="J77" s="630"/>
      <c r="K77" s="631"/>
    </row>
    <row r="78" spans="1:11" s="2" customFormat="1">
      <c r="B78" s="12" t="s">
        <v>171</v>
      </c>
      <c r="C78" s="151" t="s">
        <v>128</v>
      </c>
      <c r="D78" s="607">
        <f>SUM(D53:D77)</f>
        <v>66.023099999999999</v>
      </c>
      <c r="E78" s="608">
        <f t="shared" ref="E78:K78" si="6">SUM(E53:E77)</f>
        <v>95.286167311588954</v>
      </c>
      <c r="F78" s="608">
        <f t="shared" si="6"/>
        <v>36.439928759017462</v>
      </c>
      <c r="G78" s="608">
        <f t="shared" si="6"/>
        <v>69.523557263308732</v>
      </c>
      <c r="H78" s="608">
        <f t="shared" si="6"/>
        <v>66.560616881302821</v>
      </c>
      <c r="I78" s="608">
        <f t="shared" si="6"/>
        <v>0</v>
      </c>
      <c r="J78" s="608">
        <f t="shared" si="6"/>
        <v>0</v>
      </c>
      <c r="K78" s="609">
        <f t="shared" si="6"/>
        <v>0</v>
      </c>
    </row>
    <row r="79" spans="1:11" s="2" customFormat="1">
      <c r="C79" s="135"/>
      <c r="D79" s="53"/>
      <c r="E79" s="52"/>
      <c r="F79" s="52"/>
      <c r="G79" s="52"/>
      <c r="H79" s="52"/>
      <c r="I79" s="52"/>
      <c r="J79" s="52"/>
      <c r="K79" s="52"/>
    </row>
    <row r="80" spans="1:11" s="2" customFormat="1">
      <c r="B80" s="12" t="s">
        <v>401</v>
      </c>
      <c r="C80" s="151" t="s">
        <v>128</v>
      </c>
      <c r="D80" s="607">
        <f>D48-D78</f>
        <v>141.99149390298572</v>
      </c>
      <c r="E80" s="608">
        <f t="shared" ref="E80:K80" si="7">E48-E78</f>
        <v>150.81036512902153</v>
      </c>
      <c r="F80" s="608">
        <f t="shared" si="7"/>
        <v>137.54341252068093</v>
      </c>
      <c r="G80" s="608">
        <f t="shared" si="7"/>
        <v>147.89428369170375</v>
      </c>
      <c r="H80" s="608">
        <f t="shared" si="7"/>
        <v>143.44786190738867</v>
      </c>
      <c r="I80" s="608">
        <f t="shared" si="7"/>
        <v>0</v>
      </c>
      <c r="J80" s="608">
        <f t="shared" si="7"/>
        <v>0</v>
      </c>
      <c r="K80" s="609">
        <f t="shared" si="7"/>
        <v>0</v>
      </c>
    </row>
    <row r="81" spans="2:11" s="2" customFormat="1">
      <c r="B81" s="12" t="s">
        <v>489</v>
      </c>
      <c r="C81" s="151" t="s">
        <v>128</v>
      </c>
      <c r="D81" s="641">
        <f>'R4 - Totex'!D90+'R4 - Totex'!D118</f>
        <v>141.99940000000001</v>
      </c>
      <c r="E81" s="642">
        <f>'R4 - Totex'!E90+'R4 - Totex'!E118</f>
        <v>150.77387796407257</v>
      </c>
      <c r="F81" s="642">
        <f>'R4 - Totex'!F90+'R4 - Totex'!F118</f>
        <v>137.5229284163261</v>
      </c>
      <c r="G81" s="642">
        <f>'R4 - Totex'!G90+'R4 - Totex'!G118</f>
        <v>147.90860278</v>
      </c>
      <c r="H81" s="642">
        <f>'R4 - Totex'!H90+'R4 - Totex'!H118</f>
        <v>143.44716818331872</v>
      </c>
      <c r="I81" s="642">
        <f>'R4 - Totex'!I90+'R4 - Totex'!I118</f>
        <v>158.91806347597478</v>
      </c>
      <c r="J81" s="642">
        <f>'R4 - Totex'!J90+'R4 - Totex'!J118</f>
        <v>175.91813593382582</v>
      </c>
      <c r="K81" s="642">
        <f>'R4 - Totex'!K90+'R4 - Totex'!K118</f>
        <v>178.4967016358849</v>
      </c>
    </row>
    <row r="82" spans="2:11" s="2" customFormat="1">
      <c r="C82" s="135" t="s">
        <v>402</v>
      </c>
      <c r="D82" s="569" t="str">
        <f>IF(D$5="Actuals",IF(ABS(D80-('R4 - Totex'!D90+'R4 - Totex'!D118))&lt;'RFPR cover'!$F$14,"OK","Error"),"N/A")</f>
        <v>OK</v>
      </c>
      <c r="E82" s="569" t="str">
        <f>IF(E$5="Actuals",IF(ABS(E80-('R4 - Totex'!E90+'R4 - Totex'!E118))&lt;'RFPR cover'!$F$14,"OK","Error"),"N/A")</f>
        <v>OK</v>
      </c>
      <c r="F82" s="569" t="str">
        <f>IF(F$5="Actuals",IF(ABS(F80-('R4 - Totex'!F90+'R4 - Totex'!F118))&lt;'RFPR cover'!$F$14,"OK","Error"),"N/A")</f>
        <v>OK</v>
      </c>
      <c r="G82" s="569" t="str">
        <f>IF(G$5="Actuals",IF(ABS(G80-('R4 - Totex'!G90+'R4 - Totex'!G118))&lt;'RFPR cover'!$F$14,"OK","Error"),"N/A")</f>
        <v>OK</v>
      </c>
      <c r="H82" s="569" t="str">
        <f>IF(H$5="Actuals",IF(ABS(H80-('R4 - Totex'!H90+'R4 - Totex'!H118))&lt;'RFPR cover'!$F$14,"OK","Error"),"N/A")</f>
        <v>OK</v>
      </c>
      <c r="I82" s="569" t="str">
        <f>IF(I$5="Actuals",IF(ABS(I80-('R4 - Totex'!I90+'R4 - Totex'!I118))&lt;'RFPR cover'!$F$14,"OK","Error"),"N/A")</f>
        <v>N/A</v>
      </c>
      <c r="J82" s="569" t="str">
        <f>IF(J$5="Actuals",IF(ABS(J80-('R4 - Totex'!J90+'R4 - Totex'!J118))&lt;'RFPR cover'!$F$14,"OK","Error"),"N/A")</f>
        <v>N/A</v>
      </c>
      <c r="K82" s="569" t="str">
        <f>IF(K$5="Actuals",IF(ABS(K80-('R4 - Totex'!K90+'R4 - Totex'!K118))&lt;'RFPR cover'!$F$14,"OK","Error"),"N/A")</f>
        <v>N/A</v>
      </c>
    </row>
    <row r="83" spans="2:11" s="2" customFormat="1">
      <c r="C83" s="135"/>
    </row>
    <row r="84" spans="2:11">
      <c r="D84" s="214"/>
      <c r="E84" s="214"/>
      <c r="F84" s="214"/>
      <c r="G84" s="214"/>
      <c r="H84" s="214"/>
      <c r="I84" s="214"/>
      <c r="J84" s="214"/>
      <c r="K84" s="214"/>
    </row>
    <row r="85" spans="2:11">
      <c r="D85" s="214"/>
      <c r="E85" s="214"/>
      <c r="F85" s="214"/>
      <c r="G85" s="214"/>
      <c r="H85" s="214"/>
      <c r="I85" s="214"/>
      <c r="J85" s="214"/>
      <c r="K85" s="214"/>
    </row>
    <row r="86" spans="2:11">
      <c r="D86" s="214"/>
      <c r="E86" s="214"/>
      <c r="F86" s="214"/>
      <c r="G86" s="214"/>
      <c r="H86" s="214"/>
      <c r="I86" s="214"/>
      <c r="J86" s="214"/>
      <c r="K86" s="214"/>
    </row>
  </sheetData>
  <conditionalFormatting sqref="D6:J6">
    <cfRule type="expression" dxfId="65" priority="22">
      <formula>AND(D$5="Actuals",E$5="N/A")</formula>
    </cfRule>
  </conditionalFormatting>
  <conditionalFormatting sqref="D5:K5">
    <cfRule type="expression" dxfId="64" priority="13">
      <formula>AND(D$5="Actuals",E$5="N/A")</formula>
    </cfRule>
  </conditionalFormatting>
  <conditionalFormatting sqref="D9:G14 D44:K46 D48:K50 D80:K80 D82:K82 D18:K18 D23:K23 D53:K78 I9:K14 D19:G19 I19:K19 D26:G43 I26:K43">
    <cfRule type="expression" dxfId="63" priority="8">
      <formula>D$5="N/A"</formula>
    </cfRule>
  </conditionalFormatting>
  <conditionalFormatting sqref="D15:K17">
    <cfRule type="expression" dxfId="62" priority="7">
      <formula>D$5="N/A"</formula>
    </cfRule>
  </conditionalFormatting>
  <conditionalFormatting sqref="D20:K22">
    <cfRule type="expression" dxfId="61" priority="6">
      <formula>D$5="N/A"</formula>
    </cfRule>
  </conditionalFormatting>
  <conditionalFormatting sqref="H9:H14">
    <cfRule type="expression" dxfId="60" priority="4">
      <formula>H$5="N/A"</formula>
    </cfRule>
  </conditionalFormatting>
  <conditionalFormatting sqref="H19">
    <cfRule type="expression" dxfId="59" priority="3">
      <formula>H$5="N/A"</formula>
    </cfRule>
  </conditionalFormatting>
  <conditionalFormatting sqref="H26:H41">
    <cfRule type="expression" dxfId="58" priority="2">
      <formula>H$5="N/A"</formula>
    </cfRule>
  </conditionalFormatting>
  <conditionalFormatting sqref="H42:H43">
    <cfRule type="expression" dxfId="57" priority="1">
      <formula>H$5="N/A"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B75" sqref="A1:XFD1048576"/>
      <selection pane="bottomLeft" activeCell="H6" sqref="H6"/>
    </sheetView>
  </sheetViews>
  <sheetFormatPr defaultColWidth="9.08984375" defaultRowHeight="12.6"/>
  <cols>
    <col min="1" max="1" width="8.36328125" style="2" customWidth="1"/>
    <col min="2" max="2" width="75.453125" style="128" customWidth="1"/>
    <col min="3" max="3" width="13.36328125" style="135" customWidth="1"/>
    <col min="4" max="11" width="11.08984375" style="2" customWidth="1"/>
    <col min="12" max="13" width="12.90625" style="2" customWidth="1"/>
    <col min="14" max="14" width="25.453125" style="2" customWidth="1"/>
    <col min="15" max="16384" width="9.08984375" style="2"/>
  </cols>
  <sheetData>
    <row r="1" spans="1:20" s="31" customFormat="1" ht="21">
      <c r="A1" s="901" t="s">
        <v>99</v>
      </c>
      <c r="B1" s="923"/>
      <c r="C1" s="277"/>
      <c r="D1" s="255"/>
      <c r="E1" s="255"/>
      <c r="F1" s="255"/>
      <c r="G1" s="255"/>
      <c r="H1" s="255"/>
      <c r="I1" s="256"/>
      <c r="J1" s="256"/>
      <c r="K1" s="257"/>
      <c r="L1" s="257"/>
      <c r="M1" s="257"/>
      <c r="N1" s="257"/>
      <c r="O1" s="360"/>
    </row>
    <row r="2" spans="1:20" s="31" customFormat="1" ht="21">
      <c r="A2" s="904" t="str">
        <f>'RFPR cover'!C5</f>
        <v>WPD-SWALES</v>
      </c>
      <c r="B2" s="917"/>
      <c r="C2" s="133"/>
      <c r="D2" s="29"/>
      <c r="E2" s="29"/>
      <c r="F2" s="29"/>
      <c r="G2" s="29"/>
      <c r="H2" s="29"/>
      <c r="I2" s="27"/>
      <c r="J2" s="27"/>
      <c r="K2" s="27"/>
      <c r="L2" s="27"/>
      <c r="M2" s="27"/>
      <c r="N2" s="27"/>
      <c r="O2" s="122"/>
    </row>
    <row r="3" spans="1:20" s="31" customFormat="1" ht="21">
      <c r="A3" s="907">
        <f>'RFPR cover'!C7</f>
        <v>2020</v>
      </c>
      <c r="B3" s="918"/>
      <c r="C3" s="276"/>
      <c r="D3" s="259"/>
      <c r="E3" s="259"/>
      <c r="F3" s="259"/>
      <c r="G3" s="259"/>
      <c r="H3" s="259"/>
      <c r="I3" s="254"/>
      <c r="J3" s="254"/>
      <c r="K3" s="254"/>
      <c r="L3" s="254"/>
      <c r="M3" s="254"/>
      <c r="N3" s="254"/>
      <c r="O3" s="260"/>
    </row>
    <row r="4" spans="1:20" ht="12.75" customHeight="1"/>
    <row r="5" spans="1:20" ht="12.75" customHeight="1">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row>
    <row r="6" spans="1:20" ht="27.75" customHeight="1">
      <c r="B6" s="770"/>
      <c r="D6" s="116">
        <f>'RFPR cover'!$C$13</f>
        <v>2016</v>
      </c>
      <c r="E6" s="117">
        <f>D6+1</f>
        <v>2017</v>
      </c>
      <c r="F6" s="117">
        <f t="shared" ref="F6:K6" si="0">E6+1</f>
        <v>2018</v>
      </c>
      <c r="G6" s="117">
        <f t="shared" si="0"/>
        <v>2019</v>
      </c>
      <c r="H6" s="117">
        <f t="shared" si="0"/>
        <v>2020</v>
      </c>
      <c r="I6" s="117">
        <f t="shared" si="0"/>
        <v>2021</v>
      </c>
      <c r="J6" s="117">
        <f t="shared" si="0"/>
        <v>2022</v>
      </c>
      <c r="K6" s="117">
        <f t="shared" si="0"/>
        <v>2023</v>
      </c>
      <c r="L6" s="100" t="str">
        <f>"Cumulative to "&amp;'RFPR cover'!$C$7</f>
        <v>Cumulative to 2020</v>
      </c>
      <c r="M6" s="118" t="s">
        <v>109</v>
      </c>
      <c r="N6" s="118" t="s">
        <v>311</v>
      </c>
    </row>
    <row r="7" spans="1:20" s="35" customFormat="1">
      <c r="B7" s="771"/>
      <c r="C7" s="157"/>
      <c r="D7" s="58"/>
      <c r="E7" s="58"/>
      <c r="F7" s="58"/>
      <c r="G7" s="58"/>
      <c r="H7" s="58"/>
      <c r="I7" s="58"/>
      <c r="J7" s="58"/>
      <c r="K7" s="58"/>
      <c r="L7" s="58"/>
      <c r="M7" s="58"/>
      <c r="N7" s="58"/>
    </row>
    <row r="8" spans="1:20" s="35" customFormat="1">
      <c r="B8" s="772" t="s">
        <v>389</v>
      </c>
      <c r="C8" s="289"/>
      <c r="D8" s="319"/>
      <c r="E8" s="319"/>
      <c r="F8" s="319"/>
      <c r="G8" s="319"/>
      <c r="H8" s="319"/>
      <c r="I8" s="319"/>
      <c r="J8" s="319"/>
      <c r="K8" s="319"/>
      <c r="L8" s="319"/>
      <c r="M8" s="319"/>
      <c r="N8" s="319"/>
    </row>
    <row r="9" spans="1:20" s="35" customFormat="1">
      <c r="B9" s="771"/>
      <c r="C9" s="157"/>
      <c r="D9" s="58"/>
      <c r="E9" s="58"/>
      <c r="F9" s="58"/>
      <c r="G9" s="58"/>
      <c r="H9" s="58"/>
      <c r="I9" s="58"/>
      <c r="J9" s="58"/>
      <c r="K9" s="58"/>
      <c r="L9" s="58"/>
      <c r="M9" s="58"/>
      <c r="N9" s="58"/>
    </row>
    <row r="10" spans="1:20">
      <c r="A10" s="35"/>
      <c r="B10" s="773" t="str">
        <f>Data!B48</f>
        <v>Totex</v>
      </c>
      <c r="C10" s="149"/>
      <c r="D10" s="82"/>
      <c r="E10" s="82"/>
      <c r="F10" s="82"/>
      <c r="G10" s="82"/>
      <c r="H10" s="82"/>
      <c r="I10" s="82"/>
      <c r="J10" s="82"/>
      <c r="K10" s="82"/>
      <c r="L10" s="82"/>
      <c r="M10" s="82"/>
      <c r="N10" s="82"/>
    </row>
    <row r="11" spans="1:20" s="35" customFormat="1">
      <c r="B11" s="774"/>
      <c r="C11" s="137"/>
      <c r="D11" s="318"/>
      <c r="E11" s="318"/>
      <c r="F11" s="318"/>
      <c r="G11" s="318"/>
      <c r="H11" s="318"/>
      <c r="I11" s="318"/>
      <c r="J11" s="318"/>
      <c r="K11" s="318"/>
      <c r="L11" s="318"/>
      <c r="M11" s="318"/>
      <c r="N11" s="318"/>
    </row>
    <row r="12" spans="1:20">
      <c r="A12" s="35"/>
      <c r="B12" s="303" t="s">
        <v>34</v>
      </c>
      <c r="C12" s="154" t="str">
        <f>'RFPR cover'!$C$14</f>
        <v>£m 12/13</v>
      </c>
      <c r="D12" s="479">
        <v>133.92167995204929</v>
      </c>
      <c r="E12" s="480">
        <v>139.21400869029802</v>
      </c>
      <c r="F12" s="480">
        <v>122.39884801557098</v>
      </c>
      <c r="G12" s="480">
        <v>127.73920039390524</v>
      </c>
      <c r="H12" s="949">
        <v>120.76002737131422</v>
      </c>
      <c r="I12" s="480">
        <v>131.5477835129</v>
      </c>
      <c r="J12" s="480">
        <v>142.58991681212001</v>
      </c>
      <c r="K12" s="480">
        <v>141.04798001334004</v>
      </c>
      <c r="L12" s="106">
        <f>SUM(D12:INDEX(D12:K12,0,MATCH('RFPR cover'!$C$7,$D$6:$K$6,0)))</f>
        <v>644.03376442313777</v>
      </c>
      <c r="M12" s="107">
        <f>SUM(D12:K12)</f>
        <v>1059.2194447614977</v>
      </c>
      <c r="N12" s="63"/>
      <c r="O12" s="63"/>
    </row>
    <row r="13" spans="1:20" ht="25.2">
      <c r="A13" s="35"/>
      <c r="B13" s="775" t="s">
        <v>501</v>
      </c>
      <c r="C13" s="154" t="str">
        <f>'RFPR cover'!$C$14</f>
        <v>£m 12/13</v>
      </c>
      <c r="D13" s="481">
        <v>146.9226732679314</v>
      </c>
      <c r="E13" s="482">
        <v>148.24656160318904</v>
      </c>
      <c r="F13" s="482">
        <v>140.33341840747909</v>
      </c>
      <c r="G13" s="482">
        <v>149.3663742614707</v>
      </c>
      <c r="H13" s="482">
        <v>136.48695794923788</v>
      </c>
      <c r="I13" s="482">
        <v>124.08496411075618</v>
      </c>
      <c r="J13" s="482">
        <v>119.49019775830132</v>
      </c>
      <c r="K13" s="482">
        <v>121.80914256404387</v>
      </c>
      <c r="L13" s="104">
        <f>SUM(D13:INDEX(D13:K13,0,MATCH('RFPR cover'!$C$7,$D$6:$K$6,0)))</f>
        <v>721.35598548930807</v>
      </c>
      <c r="M13" s="105">
        <f>SUM(D13:K13)</f>
        <v>1086.7402899224094</v>
      </c>
      <c r="N13" s="63"/>
      <c r="O13" s="63"/>
    </row>
    <row r="14" spans="1:20">
      <c r="A14" s="35"/>
      <c r="B14" s="776" t="s">
        <v>195</v>
      </c>
      <c r="C14" s="154" t="str">
        <f>'RFPR cover'!$C$14</f>
        <v>£m 12/13</v>
      </c>
      <c r="D14" s="101">
        <f>D13-D12</f>
        <v>13.000993315882113</v>
      </c>
      <c r="E14" s="102">
        <f t="shared" ref="E14:M14" si="1">E13-E12</f>
        <v>9.0325529128910205</v>
      </c>
      <c r="F14" s="102">
        <f t="shared" si="1"/>
        <v>17.93457039190811</v>
      </c>
      <c r="G14" s="102">
        <f t="shared" si="1"/>
        <v>21.62717386756546</v>
      </c>
      <c r="H14" s="102">
        <f t="shared" si="1"/>
        <v>15.726930577923653</v>
      </c>
      <c r="I14" s="102">
        <f t="shared" si="1"/>
        <v>-7.4628194021438219</v>
      </c>
      <c r="J14" s="102">
        <f t="shared" si="1"/>
        <v>-23.099719053818689</v>
      </c>
      <c r="K14" s="102">
        <f t="shared" si="1"/>
        <v>-19.23883744929617</v>
      </c>
      <c r="L14" s="101">
        <f t="shared" si="1"/>
        <v>77.3222210661703</v>
      </c>
      <c r="M14" s="103">
        <f t="shared" si="1"/>
        <v>27.520845160911676</v>
      </c>
      <c r="N14" s="63"/>
      <c r="O14" s="1007"/>
      <c r="P14" s="1007"/>
      <c r="Q14" s="1007"/>
      <c r="R14"/>
      <c r="S14"/>
      <c r="T14"/>
    </row>
    <row r="15" spans="1:20" ht="13.2">
      <c r="A15" s="35"/>
      <c r="B15" s="776"/>
      <c r="C15" s="154"/>
      <c r="D15" s="59"/>
      <c r="E15" s="59"/>
      <c r="F15" s="59"/>
      <c r="G15" s="59"/>
      <c r="H15" s="59"/>
      <c r="I15" s="59"/>
      <c r="J15" s="59"/>
      <c r="K15" s="59"/>
      <c r="L15" s="59"/>
      <c r="M15" s="59"/>
      <c r="O15" s="64"/>
      <c r="P15" s="64"/>
      <c r="Q15" s="64"/>
      <c r="R15"/>
      <c r="S15"/>
      <c r="T15"/>
    </row>
    <row r="16" spans="1:20">
      <c r="A16" s="35"/>
      <c r="B16" s="770" t="s">
        <v>178</v>
      </c>
      <c r="C16" s="135" t="s">
        <v>7</v>
      </c>
      <c r="D16" s="108">
        <f>1-INDEX(Data!$D$73:$D$100,MATCH('RFPR cover'!$C$5,Data!$B$73:$B$100,0),0)</f>
        <v>0.30000000000000004</v>
      </c>
      <c r="E16" s="109">
        <f>1-INDEX(Data!$D$73:$D$100,MATCH('RFPR cover'!$C$5,Data!$B$73:$B$100,0),0)</f>
        <v>0.30000000000000004</v>
      </c>
      <c r="F16" s="109">
        <f>1-INDEX(Data!$D$73:$D$100,MATCH('RFPR cover'!$C$5,Data!$B$73:$B$100,0),0)</f>
        <v>0.30000000000000004</v>
      </c>
      <c r="G16" s="109">
        <f>1-INDEX(Data!$D$73:$D$100,MATCH('RFPR cover'!$C$5,Data!$B$73:$B$100,0),0)</f>
        <v>0.30000000000000004</v>
      </c>
      <c r="H16" s="109">
        <f>1-INDEX(Data!$D$73:$D$100,MATCH('RFPR cover'!$C$5,Data!$B$73:$B$100,0),0)</f>
        <v>0.30000000000000004</v>
      </c>
      <c r="I16" s="109">
        <f>1-INDEX(Data!$D$73:$D$100,MATCH('RFPR cover'!$C$5,Data!$B$73:$B$100,0),0)</f>
        <v>0.30000000000000004</v>
      </c>
      <c r="J16" s="109">
        <f>1-INDEX(Data!$D$73:$D$100,MATCH('RFPR cover'!$C$5,Data!$B$73:$B$100,0),0)</f>
        <v>0.30000000000000004</v>
      </c>
      <c r="K16" s="110">
        <f>1-INDEX(Data!$D$73:$D$100,MATCH('RFPR cover'!$C$5,Data!$B$73:$B$100,0),0)</f>
        <v>0.30000000000000004</v>
      </c>
      <c r="L16" s="62"/>
      <c r="M16" s="62"/>
      <c r="O16"/>
      <c r="P16"/>
      <c r="Q16"/>
      <c r="R16"/>
      <c r="S16"/>
      <c r="T16"/>
    </row>
    <row r="17" spans="1:20">
      <c r="A17" s="35"/>
      <c r="B17" s="770"/>
      <c r="O17"/>
      <c r="P17"/>
      <c r="Q17"/>
      <c r="R17"/>
      <c r="S17"/>
      <c r="T17"/>
    </row>
    <row r="18" spans="1:20">
      <c r="A18" s="35"/>
      <c r="B18" s="777" t="s">
        <v>183</v>
      </c>
      <c r="C18" s="158" t="str">
        <f>'RFPR cover'!$C$14</f>
        <v>£m 12/13</v>
      </c>
      <c r="D18" s="94">
        <f>D14*D16</f>
        <v>3.9002979947646343</v>
      </c>
      <c r="E18" s="95">
        <f t="shared" ref="E18:K18" si="2">E14*E16</f>
        <v>2.7097658738673065</v>
      </c>
      <c r="F18" s="95">
        <f t="shared" si="2"/>
        <v>5.3803711175724338</v>
      </c>
      <c r="G18" s="95">
        <f t="shared" si="2"/>
        <v>6.4881521602696388</v>
      </c>
      <c r="H18" s="95">
        <f t="shared" si="2"/>
        <v>4.718079173377097</v>
      </c>
      <c r="I18" s="95">
        <f t="shared" si="2"/>
        <v>-2.2388458206431467</v>
      </c>
      <c r="J18" s="95">
        <f t="shared" si="2"/>
        <v>-6.929915716145608</v>
      </c>
      <c r="K18" s="95">
        <f t="shared" si="2"/>
        <v>-5.7716512347888518</v>
      </c>
      <c r="L18" s="94">
        <f>SUM(D18:INDEX(D18:K18,0,MATCH('RFPR cover'!$C$7,$D$6:$K$6,0)))</f>
        <v>23.196666319851111</v>
      </c>
      <c r="M18" s="96">
        <f>SUM(D18:K18)</f>
        <v>8.2562535482735058</v>
      </c>
      <c r="O18"/>
      <c r="P18"/>
      <c r="Q18"/>
      <c r="R18"/>
      <c r="S18"/>
      <c r="T18"/>
    </row>
    <row r="19" spans="1:20">
      <c r="A19" s="35"/>
      <c r="B19" s="777" t="s">
        <v>280</v>
      </c>
      <c r="C19" s="158" t="str">
        <f>'RFPR cover'!$C$14</f>
        <v>£m 12/13</v>
      </c>
      <c r="D19" s="91">
        <f>D14*(1-D16)</f>
        <v>9.1006953211174775</v>
      </c>
      <c r="E19" s="92">
        <f t="shared" ref="E19:K19" si="3">E14*(1-E16)</f>
        <v>6.322787039023714</v>
      </c>
      <c r="F19" s="92">
        <f t="shared" si="3"/>
        <v>12.554199274335677</v>
      </c>
      <c r="G19" s="92">
        <f t="shared" si="3"/>
        <v>15.139021707295822</v>
      </c>
      <c r="H19" s="92">
        <f t="shared" si="3"/>
        <v>11.008851404546556</v>
      </c>
      <c r="I19" s="92">
        <f t="shared" si="3"/>
        <v>-5.2239735815006751</v>
      </c>
      <c r="J19" s="92">
        <f t="shared" si="3"/>
        <v>-16.169803337673081</v>
      </c>
      <c r="K19" s="92">
        <f t="shared" si="3"/>
        <v>-13.467186214507318</v>
      </c>
      <c r="L19" s="91">
        <f>SUM(D19:INDEX(D19:K19,0,MATCH('RFPR cover'!$C$7,$D$6:$K$6,0)))</f>
        <v>54.125554746319246</v>
      </c>
      <c r="M19" s="93">
        <f>SUM(D19:K19)</f>
        <v>19.264591612638174</v>
      </c>
      <c r="O19"/>
      <c r="P19"/>
      <c r="Q19"/>
      <c r="R19"/>
      <c r="S19"/>
      <c r="T19"/>
    </row>
    <row r="20" spans="1:20">
      <c r="A20" s="35"/>
      <c r="B20" s="770"/>
      <c r="O20"/>
      <c r="P20"/>
      <c r="Q20"/>
      <c r="R20"/>
      <c r="S20"/>
      <c r="T20"/>
    </row>
    <row r="21" spans="1:20">
      <c r="A21" s="35"/>
      <c r="B21" s="778" t="s">
        <v>182</v>
      </c>
      <c r="N21" s="63"/>
      <c r="O21"/>
      <c r="P21"/>
      <c r="Q21"/>
      <c r="R21"/>
      <c r="S21"/>
      <c r="T21"/>
    </row>
    <row r="22" spans="1:20">
      <c r="A22" s="268" t="s">
        <v>151</v>
      </c>
      <c r="B22" s="768" t="s">
        <v>620</v>
      </c>
      <c r="C22" s="154" t="str">
        <f>'RFPR cover'!$C$14</f>
        <v>£m 12/13</v>
      </c>
      <c r="D22" s="579">
        <v>0</v>
      </c>
      <c r="E22" s="580">
        <v>9.3380794989831966</v>
      </c>
      <c r="F22" s="580">
        <v>-8.5540706675257674</v>
      </c>
      <c r="G22" s="580">
        <v>-0.43392316322300012</v>
      </c>
      <c r="H22" s="580">
        <v>0</v>
      </c>
      <c r="I22" s="580">
        <v>0</v>
      </c>
      <c r="J22" s="580">
        <v>0</v>
      </c>
      <c r="K22" s="580">
        <v>0</v>
      </c>
      <c r="L22" s="581">
        <f>SUM(D22:INDEX(D22:K22,0,MATCH('RFPR cover'!$C$7,$D$6:$K$6,0)))</f>
        <v>0.35008566823442905</v>
      </c>
      <c r="M22" s="582">
        <f t="shared" ref="M22:M27" si="4">SUM(D22:K22)</f>
        <v>0.35008566823442905</v>
      </c>
      <c r="N22" s="570" t="s">
        <v>628</v>
      </c>
      <c r="O22"/>
      <c r="P22"/>
      <c r="Q22"/>
      <c r="R22"/>
      <c r="S22"/>
      <c r="T22"/>
    </row>
    <row r="23" spans="1:20">
      <c r="A23" s="268" t="s">
        <v>152</v>
      </c>
      <c r="B23" s="768" t="s">
        <v>621</v>
      </c>
      <c r="C23" s="154" t="str">
        <f>'RFPR cover'!$C$14</f>
        <v>£m 12/13</v>
      </c>
      <c r="D23" s="583">
        <v>0</v>
      </c>
      <c r="E23" s="584">
        <v>0</v>
      </c>
      <c r="F23" s="584">
        <v>-32.492576467475004</v>
      </c>
      <c r="G23" s="584">
        <v>-5.6790889221175025</v>
      </c>
      <c r="H23" s="584">
        <v>0</v>
      </c>
      <c r="I23" s="584">
        <v>12.723999999999998</v>
      </c>
      <c r="J23" s="584">
        <v>12.723999999999998</v>
      </c>
      <c r="K23" s="584">
        <v>12.72366538959251</v>
      </c>
      <c r="L23" s="585">
        <f>SUM(D23:INDEX(D23:K23,0,MATCH('RFPR cover'!$C$7,$D$6:$K$6,0)))</f>
        <v>-38.171665389592505</v>
      </c>
      <c r="M23" s="586">
        <f t="shared" si="4"/>
        <v>0</v>
      </c>
      <c r="N23" s="571" t="s">
        <v>628</v>
      </c>
      <c r="O23"/>
      <c r="P23"/>
      <c r="Q23"/>
      <c r="R23"/>
      <c r="S23"/>
      <c r="T23"/>
    </row>
    <row r="24" spans="1:20">
      <c r="A24" s="268" t="s">
        <v>153</v>
      </c>
      <c r="B24" s="768" t="s">
        <v>635</v>
      </c>
      <c r="C24" s="154" t="str">
        <f>'RFPR cover'!$C$14</f>
        <v>£m 12/13</v>
      </c>
      <c r="D24" s="583">
        <v>0</v>
      </c>
      <c r="E24" s="584">
        <v>0</v>
      </c>
      <c r="F24" s="584">
        <v>0</v>
      </c>
      <c r="G24" s="584">
        <v>0</v>
      </c>
      <c r="H24" s="584">
        <v>-0.11298698657109583</v>
      </c>
      <c r="I24" s="584">
        <v>0.37911815376161867</v>
      </c>
      <c r="J24" s="584">
        <v>2.3530410665699999</v>
      </c>
      <c r="K24" s="584">
        <v>1.5394046262999999</v>
      </c>
      <c r="L24" s="585">
        <f>SUM(D24:INDEX(D24:K24,0,MATCH('RFPR cover'!$C$7,$D$6:$K$6,0)))</f>
        <v>-0.11298698657109583</v>
      </c>
      <c r="M24" s="586">
        <f t="shared" si="4"/>
        <v>4.1585768600605224</v>
      </c>
      <c r="N24" s="571" t="s">
        <v>628</v>
      </c>
      <c r="O24"/>
      <c r="P24"/>
      <c r="Q24"/>
      <c r="R24"/>
      <c r="S24" s="65"/>
      <c r="T24"/>
    </row>
    <row r="25" spans="1:20">
      <c r="A25" s="268" t="s">
        <v>168</v>
      </c>
      <c r="B25" s="768" t="s">
        <v>242</v>
      </c>
      <c r="C25" s="154" t="str">
        <f>'RFPR cover'!$C$14</f>
        <v>£m 12/13</v>
      </c>
      <c r="D25" s="583">
        <v>0</v>
      </c>
      <c r="E25" s="584">
        <v>0</v>
      </c>
      <c r="F25" s="584">
        <v>0</v>
      </c>
      <c r="G25" s="584">
        <v>0</v>
      </c>
      <c r="H25" s="584"/>
      <c r="I25" s="584"/>
      <c r="J25" s="584"/>
      <c r="K25" s="584"/>
      <c r="L25" s="585">
        <f>SUM(D25:INDEX(D25:K25,0,MATCH('RFPR cover'!$C$7,$D$6:$K$6,0)))</f>
        <v>0</v>
      </c>
      <c r="M25" s="586">
        <f t="shared" si="4"/>
        <v>0</v>
      </c>
      <c r="N25" s="571"/>
      <c r="O25"/>
      <c r="P25"/>
      <c r="Q25"/>
      <c r="R25"/>
      <c r="S25"/>
      <c r="T25"/>
    </row>
    <row r="26" spans="1:20">
      <c r="A26" s="268" t="s">
        <v>169</v>
      </c>
      <c r="B26" s="768" t="s">
        <v>242</v>
      </c>
      <c r="C26" s="154" t="str">
        <f>'RFPR cover'!$C$14</f>
        <v>£m 12/13</v>
      </c>
      <c r="D26" s="583">
        <v>0</v>
      </c>
      <c r="E26" s="584">
        <v>0</v>
      </c>
      <c r="F26" s="584">
        <v>0</v>
      </c>
      <c r="G26" s="584">
        <v>0</v>
      </c>
      <c r="H26" s="584"/>
      <c r="I26" s="584"/>
      <c r="J26" s="584"/>
      <c r="K26" s="584"/>
      <c r="L26" s="585">
        <f>SUM(D26:INDEX(D26:K26,0,MATCH('RFPR cover'!$C$7,$D$6:$K$6,0)))</f>
        <v>0</v>
      </c>
      <c r="M26" s="586">
        <f t="shared" si="4"/>
        <v>0</v>
      </c>
      <c r="N26" s="571"/>
      <c r="O26"/>
      <c r="P26"/>
      <c r="Q26"/>
      <c r="R26"/>
      <c r="S26"/>
      <c r="T26"/>
    </row>
    <row r="27" spans="1:20">
      <c r="A27" s="268" t="s">
        <v>170</v>
      </c>
      <c r="B27" s="768" t="s">
        <v>242</v>
      </c>
      <c r="C27" s="154" t="str">
        <f>'RFPR cover'!$C$14</f>
        <v>£m 12/13</v>
      </c>
      <c r="D27" s="587">
        <v>0</v>
      </c>
      <c r="E27" s="588">
        <v>0</v>
      </c>
      <c r="F27" s="588">
        <v>0</v>
      </c>
      <c r="G27" s="588">
        <v>0</v>
      </c>
      <c r="H27" s="588"/>
      <c r="I27" s="588"/>
      <c r="J27" s="588"/>
      <c r="K27" s="588"/>
      <c r="L27" s="589">
        <f>SUM(D27:INDEX(D27:K27,0,MATCH('RFPR cover'!$C$7,$D$6:$K$6,0)))</f>
        <v>0</v>
      </c>
      <c r="M27" s="590">
        <f t="shared" si="4"/>
        <v>0</v>
      </c>
      <c r="N27" s="572"/>
      <c r="O27"/>
      <c r="P27"/>
      <c r="Q27"/>
      <c r="R27"/>
      <c r="S27"/>
      <c r="T27"/>
    </row>
    <row r="28" spans="1:20">
      <c r="A28" s="35"/>
      <c r="B28" s="778" t="s">
        <v>190</v>
      </c>
      <c r="C28" s="154" t="str">
        <f>'RFPR cover'!$C$14</f>
        <v>£m 12/13</v>
      </c>
      <c r="D28" s="101">
        <f>SUM(D22:D27)</f>
        <v>0</v>
      </c>
      <c r="E28" s="102">
        <f t="shared" ref="E28:K28" si="5">SUM(E22:E27)</f>
        <v>9.3380794989831966</v>
      </c>
      <c r="F28" s="102">
        <f t="shared" si="5"/>
        <v>-41.046647135000768</v>
      </c>
      <c r="G28" s="102">
        <f t="shared" si="5"/>
        <v>-6.113012085340503</v>
      </c>
      <c r="H28" s="102">
        <f t="shared" si="5"/>
        <v>-0.11298698657109583</v>
      </c>
      <c r="I28" s="102">
        <f t="shared" si="5"/>
        <v>13.103118153761617</v>
      </c>
      <c r="J28" s="102">
        <f t="shared" si="5"/>
        <v>15.077041066569999</v>
      </c>
      <c r="K28" s="102">
        <f t="shared" si="5"/>
        <v>14.263070015892509</v>
      </c>
      <c r="L28" s="101">
        <f>SUM(D28:INDEX(D28:K28,0,MATCH('RFPR cover'!$C$7,$D$6:$K$6,0)))</f>
        <v>-37.934566707929164</v>
      </c>
      <c r="M28" s="103">
        <f>SUM(D28:K28)</f>
        <v>4.5086625282949608</v>
      </c>
      <c r="N28" s="63"/>
    </row>
    <row r="29" spans="1:20">
      <c r="A29" s="35"/>
      <c r="B29" s="770"/>
    </row>
    <row r="30" spans="1:20">
      <c r="A30" s="35"/>
      <c r="B30" s="777" t="s">
        <v>198</v>
      </c>
      <c r="C30" s="158" t="str">
        <f>'RFPR cover'!$C$14</f>
        <v>£m 12/13</v>
      </c>
      <c r="D30" s="94">
        <f t="shared" ref="D30:K30" si="6">D28*D16</f>
        <v>0</v>
      </c>
      <c r="E30" s="95">
        <f t="shared" si="6"/>
        <v>2.8014238496949595</v>
      </c>
      <c r="F30" s="95">
        <f t="shared" si="6"/>
        <v>-12.313994140500233</v>
      </c>
      <c r="G30" s="95">
        <f t="shared" si="6"/>
        <v>-1.8339036256021513</v>
      </c>
      <c r="H30" s="95">
        <f t="shared" si="6"/>
        <v>-3.3896095971328755E-2</v>
      </c>
      <c r="I30" s="95">
        <f t="shared" si="6"/>
        <v>3.9309354461284856</v>
      </c>
      <c r="J30" s="95">
        <f t="shared" si="6"/>
        <v>4.5231123199710002</v>
      </c>
      <c r="K30" s="95">
        <f t="shared" si="6"/>
        <v>4.2789210047677537</v>
      </c>
      <c r="L30" s="94">
        <f>SUM(D30:INDEX(D30:K30,0,MATCH('RFPR cover'!$C$7,$D$6:$K$6,0)))</f>
        <v>-11.380370012378753</v>
      </c>
      <c r="M30" s="96">
        <f>SUM(D30:K30)</f>
        <v>1.3525987584884858</v>
      </c>
    </row>
    <row r="31" spans="1:20">
      <c r="A31" s="35"/>
      <c r="B31" s="777" t="s">
        <v>309</v>
      </c>
      <c r="C31" s="158" t="str">
        <f>'RFPR cover'!$C$14</f>
        <v>£m 12/13</v>
      </c>
      <c r="D31" s="91">
        <f t="shared" ref="D31:K31" si="7">D28*(1-D16)</f>
        <v>0</v>
      </c>
      <c r="E31" s="92">
        <f t="shared" si="7"/>
        <v>6.5366556492882371</v>
      </c>
      <c r="F31" s="92">
        <f t="shared" si="7"/>
        <v>-28.732652994500537</v>
      </c>
      <c r="G31" s="92">
        <f t="shared" si="7"/>
        <v>-4.2791084597383522</v>
      </c>
      <c r="H31" s="92">
        <f t="shared" si="7"/>
        <v>-7.909089059976708E-2</v>
      </c>
      <c r="I31" s="92">
        <f t="shared" si="7"/>
        <v>9.1721827076331319</v>
      </c>
      <c r="J31" s="92">
        <f t="shared" si="7"/>
        <v>10.553928746598999</v>
      </c>
      <c r="K31" s="92">
        <f t="shared" si="7"/>
        <v>9.9841490111247566</v>
      </c>
      <c r="L31" s="91">
        <f>SUM(D31:INDEX(D31:K31,0,MATCH('RFPR cover'!$C$7,$D$6:$K$6,0)))</f>
        <v>-26.554196695550417</v>
      </c>
      <c r="M31" s="93">
        <f>SUM(D31:K31)</f>
        <v>3.1560637698064724</v>
      </c>
    </row>
    <row r="32" spans="1:20">
      <c r="A32" s="35"/>
      <c r="B32" s="770"/>
    </row>
    <row r="33" spans="1:20">
      <c r="A33" s="35"/>
      <c r="B33" s="778" t="s">
        <v>181</v>
      </c>
    </row>
    <row r="34" spans="1:20">
      <c r="A34" s="35"/>
      <c r="B34" s="770" t="s">
        <v>180</v>
      </c>
      <c r="C34" s="154" t="str">
        <f>'RFPR cover'!$C$14</f>
        <v>£m 12/13</v>
      </c>
      <c r="D34" s="94">
        <f>D18+D30</f>
        <v>3.9002979947646343</v>
      </c>
      <c r="E34" s="95">
        <f t="shared" ref="E34:K34" si="8">E18+E30</f>
        <v>5.511189723562266</v>
      </c>
      <c r="F34" s="95">
        <f t="shared" si="8"/>
        <v>-6.9336230229277991</v>
      </c>
      <c r="G34" s="95">
        <f t="shared" si="8"/>
        <v>4.654248534667488</v>
      </c>
      <c r="H34" s="95">
        <f t="shared" si="8"/>
        <v>4.684183077405768</v>
      </c>
      <c r="I34" s="95">
        <f t="shared" si="8"/>
        <v>1.6920896254853388</v>
      </c>
      <c r="J34" s="95">
        <f t="shared" si="8"/>
        <v>-2.4068033961746078</v>
      </c>
      <c r="K34" s="95">
        <f t="shared" si="8"/>
        <v>-1.4927302300210981</v>
      </c>
      <c r="L34" s="94">
        <f>SUM(D34:INDEX(D34:K34,0,MATCH('RFPR cover'!$C$7,$D$6:$K$6,0)))</f>
        <v>11.816296307472356</v>
      </c>
      <c r="M34" s="96">
        <f>SUM(D34:K34)</f>
        <v>9.6088523067619889</v>
      </c>
    </row>
    <row r="35" spans="1:20">
      <c r="A35" s="35"/>
      <c r="B35" s="770" t="s">
        <v>280</v>
      </c>
      <c r="C35" s="154" t="str">
        <f>'RFPR cover'!$C$14</f>
        <v>£m 12/13</v>
      </c>
      <c r="D35" s="97">
        <f>D19+D31</f>
        <v>9.1006953211174775</v>
      </c>
      <c r="E35" s="98">
        <f t="shared" ref="E35:K35" si="9">E19+E31</f>
        <v>12.859442688311951</v>
      </c>
      <c r="F35" s="98">
        <f t="shared" si="9"/>
        <v>-16.17845372016486</v>
      </c>
      <c r="G35" s="98">
        <f t="shared" si="9"/>
        <v>10.859913247557468</v>
      </c>
      <c r="H35" s="98">
        <f t="shared" si="9"/>
        <v>10.929760513946789</v>
      </c>
      <c r="I35" s="98">
        <f t="shared" si="9"/>
        <v>3.9482091261324568</v>
      </c>
      <c r="J35" s="98">
        <f t="shared" si="9"/>
        <v>-5.6158745910740819</v>
      </c>
      <c r="K35" s="98">
        <f t="shared" si="9"/>
        <v>-3.4830372033825618</v>
      </c>
      <c r="L35" s="97">
        <f>SUM(D35:INDEX(D35:K35,0,MATCH('RFPR cover'!$C$7,$D$6:$K$6,0)))</f>
        <v>27.571358050768826</v>
      </c>
      <c r="M35" s="99">
        <f>SUM(D35:K35)</f>
        <v>22.42065538244464</v>
      </c>
    </row>
    <row r="36" spans="1:20">
      <c r="A36" s="35"/>
      <c r="B36" s="778" t="s">
        <v>11</v>
      </c>
      <c r="C36" s="155" t="str">
        <f>'RFPR cover'!$C$14</f>
        <v>£m 12/13</v>
      </c>
      <c r="D36" s="138">
        <f>SUM(D34:D35)</f>
        <v>13.000993315882113</v>
      </c>
      <c r="E36" s="139">
        <f t="shared" ref="E36:K36" si="10">SUM(E34:E35)</f>
        <v>18.370632411874219</v>
      </c>
      <c r="F36" s="139">
        <f t="shared" si="10"/>
        <v>-23.112076743092658</v>
      </c>
      <c r="G36" s="139">
        <f t="shared" si="10"/>
        <v>15.514161782224956</v>
      </c>
      <c r="H36" s="139">
        <f t="shared" si="10"/>
        <v>15.613943591352557</v>
      </c>
      <c r="I36" s="139">
        <f t="shared" si="10"/>
        <v>5.6402987516177951</v>
      </c>
      <c r="J36" s="139">
        <f t="shared" si="10"/>
        <v>-8.0226779872486897</v>
      </c>
      <c r="K36" s="139">
        <f t="shared" si="10"/>
        <v>-4.9757674334036599</v>
      </c>
      <c r="L36" s="138">
        <f>SUM(D36:INDEX(D36:K36,0,MATCH('RFPR cover'!$C$7,$D$6:$K$6,0)))</f>
        <v>39.387654358241186</v>
      </c>
      <c r="M36" s="140">
        <f>SUM(D36:K36)</f>
        <v>32.029507689206632</v>
      </c>
    </row>
    <row r="37" spans="1:20">
      <c r="A37" s="35"/>
      <c r="B37" s="770"/>
    </row>
    <row r="38" spans="1:20">
      <c r="A38" s="35"/>
      <c r="B38" s="773" t="str">
        <f>Data!B51</f>
        <v>n/a</v>
      </c>
      <c r="C38" s="149"/>
      <c r="D38" s="82"/>
      <c r="E38" s="82"/>
      <c r="F38" s="82"/>
      <c r="G38" s="82"/>
      <c r="H38" s="82"/>
      <c r="I38" s="82"/>
      <c r="J38" s="82"/>
      <c r="K38" s="82"/>
      <c r="L38" s="82"/>
      <c r="M38" s="82"/>
      <c r="N38" s="82"/>
    </row>
    <row r="39" spans="1:20" s="35" customFormat="1">
      <c r="B39" s="771"/>
      <c r="C39" s="137"/>
      <c r="D39" s="318"/>
      <c r="E39" s="318"/>
      <c r="F39" s="318"/>
      <c r="G39" s="318"/>
      <c r="H39" s="318"/>
      <c r="I39" s="318"/>
      <c r="J39" s="318"/>
      <c r="K39" s="318"/>
      <c r="L39" s="318"/>
      <c r="M39" s="318"/>
      <c r="N39" s="318"/>
    </row>
    <row r="40" spans="1:20">
      <c r="A40" s="35"/>
      <c r="B40" s="303" t="s">
        <v>34</v>
      </c>
      <c r="C40" s="154" t="str">
        <f>'RFPR cover'!$C$14</f>
        <v>£m 12/13</v>
      </c>
      <c r="D40" s="646"/>
      <c r="E40" s="647"/>
      <c r="F40" s="647"/>
      <c r="G40" s="647"/>
      <c r="H40" s="647"/>
      <c r="I40" s="647"/>
      <c r="J40" s="647"/>
      <c r="K40" s="647"/>
      <c r="L40" s="648">
        <f>SUM(D40:INDEX(D40:K40,0,MATCH('RFPR cover'!$C$7,$D$6:$K$6,0)))</f>
        <v>0</v>
      </c>
      <c r="M40" s="649">
        <f>SUM(D40:K40)</f>
        <v>0</v>
      </c>
      <c r="N40" s="349"/>
      <c r="O40" s="63"/>
    </row>
    <row r="41" spans="1:20" ht="25.2">
      <c r="A41" s="35"/>
      <c r="B41" s="775" t="s">
        <v>501</v>
      </c>
      <c r="C41" s="154" t="str">
        <f>'RFPR cover'!$C$14</f>
        <v>£m 12/13</v>
      </c>
      <c r="D41" s="650"/>
      <c r="E41" s="651"/>
      <c r="F41" s="651"/>
      <c r="G41" s="651"/>
      <c r="H41" s="651"/>
      <c r="I41" s="651"/>
      <c r="J41" s="651"/>
      <c r="K41" s="651"/>
      <c r="L41" s="652">
        <f>SUM(D41:INDEX(D41:K41,0,MATCH('RFPR cover'!$C$7,$D$6:$K$6,0)))</f>
        <v>0</v>
      </c>
      <c r="M41" s="653">
        <f>SUM(D41:K41)</f>
        <v>0</v>
      </c>
      <c r="N41" s="349"/>
      <c r="O41" s="63"/>
    </row>
    <row r="42" spans="1:20">
      <c r="A42" s="35"/>
      <c r="B42" s="776" t="s">
        <v>195</v>
      </c>
      <c r="C42" s="154" t="str">
        <f>'RFPR cover'!$C$14</f>
        <v>£m 12/13</v>
      </c>
      <c r="D42" s="101">
        <f>D41-D40</f>
        <v>0</v>
      </c>
      <c r="E42" s="102">
        <f t="shared" ref="E42:M42" si="11">E41-E40</f>
        <v>0</v>
      </c>
      <c r="F42" s="102">
        <f t="shared" si="11"/>
        <v>0</v>
      </c>
      <c r="G42" s="102">
        <f t="shared" si="11"/>
        <v>0</v>
      </c>
      <c r="H42" s="102">
        <f t="shared" si="11"/>
        <v>0</v>
      </c>
      <c r="I42" s="102">
        <f t="shared" si="11"/>
        <v>0</v>
      </c>
      <c r="J42" s="102">
        <f t="shared" si="11"/>
        <v>0</v>
      </c>
      <c r="K42" s="102">
        <f t="shared" si="11"/>
        <v>0</v>
      </c>
      <c r="L42" s="352">
        <f t="shared" si="11"/>
        <v>0</v>
      </c>
      <c r="M42" s="353">
        <f t="shared" si="11"/>
        <v>0</v>
      </c>
      <c r="N42" s="350"/>
      <c r="O42" s="1007"/>
      <c r="P42" s="1007"/>
      <c r="Q42" s="1007"/>
      <c r="R42"/>
      <c r="S42"/>
      <c r="T42"/>
    </row>
    <row r="43" spans="1:20" ht="13.2">
      <c r="A43" s="35"/>
      <c r="B43" s="776"/>
      <c r="C43" s="154"/>
      <c r="D43" s="59"/>
      <c r="E43" s="59"/>
      <c r="F43" s="59"/>
      <c r="G43" s="59"/>
      <c r="H43" s="59"/>
      <c r="I43" s="59"/>
      <c r="J43" s="59"/>
      <c r="K43" s="59"/>
      <c r="L43" s="59"/>
      <c r="M43" s="59"/>
      <c r="N43" s="346"/>
      <c r="O43" s="64"/>
      <c r="P43" s="64"/>
      <c r="Q43" s="64"/>
      <c r="R43"/>
      <c r="S43"/>
      <c r="T43"/>
    </row>
    <row r="44" spans="1:20">
      <c r="A44" s="35"/>
      <c r="B44" s="770" t="s">
        <v>178</v>
      </c>
      <c r="C44" s="135" t="s">
        <v>7</v>
      </c>
      <c r="D44" s="108">
        <f>1-INDEX(Data!$D$73:$D$100,MATCH('RFPR cover'!$C$5,Data!$B$73:$B$100,0),0)</f>
        <v>0.30000000000000004</v>
      </c>
      <c r="E44" s="109">
        <f>1-INDEX(Data!$D$73:$D$100,MATCH('RFPR cover'!$C$5,Data!$B$73:$B$100,0),0)</f>
        <v>0.30000000000000004</v>
      </c>
      <c r="F44" s="109">
        <f>1-INDEX(Data!$D$73:$D$100,MATCH('RFPR cover'!$C$5,Data!$B$73:$B$100,0),0)</f>
        <v>0.30000000000000004</v>
      </c>
      <c r="G44" s="109">
        <f>1-INDEX(Data!$D$73:$D$100,MATCH('RFPR cover'!$C$5,Data!$B$73:$B$100,0),0)</f>
        <v>0.30000000000000004</v>
      </c>
      <c r="H44" s="109">
        <f>1-INDEX(Data!$D$73:$D$100,MATCH('RFPR cover'!$C$5,Data!$B$73:$B$100,0),0)</f>
        <v>0.30000000000000004</v>
      </c>
      <c r="I44" s="109">
        <f>1-INDEX(Data!$D$73:$D$100,MATCH('RFPR cover'!$C$5,Data!$B$73:$B$100,0),0)</f>
        <v>0.30000000000000004</v>
      </c>
      <c r="J44" s="109">
        <f>1-INDEX(Data!$D$73:$D$100,MATCH('RFPR cover'!$C$5,Data!$B$73:$B$100,0),0)</f>
        <v>0.30000000000000004</v>
      </c>
      <c r="K44" s="110">
        <f>1-INDEX(Data!$D$73:$D$100,MATCH('RFPR cover'!$C$5,Data!$B$73:$B$100,0),0)</f>
        <v>0.30000000000000004</v>
      </c>
      <c r="L44" s="62"/>
      <c r="M44" s="62"/>
      <c r="N44" s="347"/>
      <c r="O44"/>
      <c r="P44"/>
      <c r="Q44"/>
      <c r="R44"/>
      <c r="S44"/>
      <c r="T44"/>
    </row>
    <row r="45" spans="1:20">
      <c r="A45" s="35"/>
      <c r="B45" s="770"/>
      <c r="N45" s="348"/>
      <c r="O45"/>
      <c r="P45"/>
      <c r="Q45"/>
      <c r="R45"/>
      <c r="S45"/>
      <c r="T45"/>
    </row>
    <row r="46" spans="1:20">
      <c r="A46" s="35"/>
      <c r="B46" s="777" t="s">
        <v>183</v>
      </c>
      <c r="C46" s="158" t="str">
        <f>'RFPR cover'!$C$14</f>
        <v>£m 12/13</v>
      </c>
      <c r="D46" s="94">
        <f>D42*D44</f>
        <v>0</v>
      </c>
      <c r="E46" s="95">
        <f t="shared" ref="E46:K46" si="12">E42*E44</f>
        <v>0</v>
      </c>
      <c r="F46" s="95">
        <f t="shared" si="12"/>
        <v>0</v>
      </c>
      <c r="G46" s="95">
        <f t="shared" si="12"/>
        <v>0</v>
      </c>
      <c r="H46" s="95">
        <f t="shared" si="12"/>
        <v>0</v>
      </c>
      <c r="I46" s="95">
        <f t="shared" si="12"/>
        <v>0</v>
      </c>
      <c r="J46" s="95">
        <f t="shared" si="12"/>
        <v>0</v>
      </c>
      <c r="K46" s="95">
        <f t="shared" si="12"/>
        <v>0</v>
      </c>
      <c r="L46" s="354">
        <f>SUM(D46:INDEX(D46:K46,0,MATCH('RFPR cover'!$C$7,$D$6:$K$6,0)))</f>
        <v>0</v>
      </c>
      <c r="M46" s="573">
        <f>SUM(D46:K46)</f>
        <v>0</v>
      </c>
      <c r="N46" s="350"/>
      <c r="O46"/>
      <c r="P46"/>
      <c r="Q46"/>
      <c r="R46"/>
      <c r="S46"/>
      <c r="T46"/>
    </row>
    <row r="47" spans="1:20">
      <c r="A47" s="35"/>
      <c r="B47" s="777" t="s">
        <v>280</v>
      </c>
      <c r="C47" s="158" t="str">
        <f>'RFPR cover'!$C$14</f>
        <v>£m 12/13</v>
      </c>
      <c r="D47" s="575">
        <f>D42*(1-D44)</f>
        <v>0</v>
      </c>
      <c r="E47" s="576">
        <f t="shared" ref="E47:K47" si="13">E42*(1-E44)</f>
        <v>0</v>
      </c>
      <c r="F47" s="576">
        <f t="shared" si="13"/>
        <v>0</v>
      </c>
      <c r="G47" s="576">
        <f t="shared" si="13"/>
        <v>0</v>
      </c>
      <c r="H47" s="576">
        <f t="shared" si="13"/>
        <v>0</v>
      </c>
      <c r="I47" s="576">
        <f t="shared" si="13"/>
        <v>0</v>
      </c>
      <c r="J47" s="576">
        <f t="shared" si="13"/>
        <v>0</v>
      </c>
      <c r="K47" s="576">
        <f t="shared" si="13"/>
        <v>0</v>
      </c>
      <c r="L47" s="577">
        <f>SUM(D47:INDEX(D47:K47,0,MATCH('RFPR cover'!$C$7,$D$6:$K$6,0)))</f>
        <v>0</v>
      </c>
      <c r="M47" s="578">
        <f>SUM(D47:K47)</f>
        <v>0</v>
      </c>
      <c r="N47" s="350"/>
      <c r="O47"/>
      <c r="P47"/>
      <c r="Q47"/>
      <c r="R47"/>
      <c r="S47"/>
      <c r="T47"/>
    </row>
    <row r="48" spans="1:20">
      <c r="A48" s="35"/>
      <c r="B48" s="770"/>
      <c r="N48" s="348"/>
      <c r="O48"/>
      <c r="P48"/>
      <c r="Q48"/>
      <c r="R48"/>
      <c r="S48"/>
      <c r="T48"/>
    </row>
    <row r="49" spans="1:20">
      <c r="A49" s="35"/>
      <c r="B49" s="778" t="s">
        <v>182</v>
      </c>
      <c r="N49" s="348"/>
      <c r="O49"/>
      <c r="P49"/>
      <c r="Q49"/>
      <c r="R49"/>
      <c r="S49"/>
      <c r="T49"/>
    </row>
    <row r="50" spans="1:20">
      <c r="A50" s="268" t="s">
        <v>151</v>
      </c>
      <c r="B50" s="768" t="s">
        <v>242</v>
      </c>
      <c r="C50" s="154" t="str">
        <f>'RFPR cover'!$C$14</f>
        <v>£m 12/13</v>
      </c>
      <c r="D50" s="579"/>
      <c r="E50" s="580"/>
      <c r="F50" s="580"/>
      <c r="G50" s="580"/>
      <c r="H50" s="580"/>
      <c r="I50" s="580"/>
      <c r="J50" s="580"/>
      <c r="K50" s="580"/>
      <c r="L50" s="654">
        <f>SUM(D50:INDEX(D50:K50,0,MATCH('RFPR cover'!$C$7,$D$6:$K$6,0)))</f>
        <v>0</v>
      </c>
      <c r="M50" s="655">
        <f t="shared" ref="M50:M56" si="14">SUM(D50:K50)</f>
        <v>0</v>
      </c>
      <c r="N50" s="570"/>
      <c r="O50"/>
      <c r="P50"/>
      <c r="Q50"/>
      <c r="R50"/>
      <c r="S50"/>
      <c r="T50"/>
    </row>
    <row r="51" spans="1:20">
      <c r="A51" s="268" t="s">
        <v>152</v>
      </c>
      <c r="B51" s="768" t="s">
        <v>242</v>
      </c>
      <c r="C51" s="154" t="str">
        <f>'RFPR cover'!$C$14</f>
        <v>£m 12/13</v>
      </c>
      <c r="D51" s="583"/>
      <c r="E51" s="584"/>
      <c r="F51" s="584"/>
      <c r="G51" s="584"/>
      <c r="H51" s="584"/>
      <c r="I51" s="584"/>
      <c r="J51" s="584"/>
      <c r="K51" s="584"/>
      <c r="L51" s="656">
        <f>SUM(D51:INDEX(D51:K51,0,MATCH('RFPR cover'!$C$7,$D$6:$K$6,0)))</f>
        <v>0</v>
      </c>
      <c r="M51" s="657">
        <f t="shared" si="14"/>
        <v>0</v>
      </c>
      <c r="N51" s="571"/>
      <c r="O51"/>
      <c r="P51"/>
      <c r="Q51"/>
      <c r="R51"/>
      <c r="S51"/>
      <c r="T51"/>
    </row>
    <row r="52" spans="1:20">
      <c r="A52" s="268" t="s">
        <v>153</v>
      </c>
      <c r="B52" s="768" t="s">
        <v>242</v>
      </c>
      <c r="C52" s="154" t="str">
        <f>'RFPR cover'!$C$14</f>
        <v>£m 12/13</v>
      </c>
      <c r="D52" s="583"/>
      <c r="E52" s="584"/>
      <c r="F52" s="584"/>
      <c r="G52" s="584"/>
      <c r="H52" s="584"/>
      <c r="I52" s="584"/>
      <c r="J52" s="584"/>
      <c r="K52" s="584"/>
      <c r="L52" s="656">
        <f>SUM(D52:INDEX(D52:K52,0,MATCH('RFPR cover'!$C$7,$D$6:$K$6,0)))</f>
        <v>0</v>
      </c>
      <c r="M52" s="657">
        <f t="shared" si="14"/>
        <v>0</v>
      </c>
      <c r="N52" s="571"/>
      <c r="O52"/>
      <c r="P52"/>
      <c r="Q52"/>
      <c r="R52"/>
      <c r="S52" s="65"/>
      <c r="T52"/>
    </row>
    <row r="53" spans="1:20">
      <c r="A53" s="268" t="s">
        <v>168</v>
      </c>
      <c r="B53" s="768" t="s">
        <v>242</v>
      </c>
      <c r="C53" s="154" t="str">
        <f>'RFPR cover'!$C$14</f>
        <v>£m 12/13</v>
      </c>
      <c r="D53" s="583"/>
      <c r="E53" s="584"/>
      <c r="F53" s="584"/>
      <c r="G53" s="584"/>
      <c r="H53" s="584"/>
      <c r="I53" s="584"/>
      <c r="J53" s="584"/>
      <c r="K53" s="584"/>
      <c r="L53" s="656">
        <f>SUM(D53:INDEX(D53:K53,0,MATCH('RFPR cover'!$C$7,$D$6:$K$6,0)))</f>
        <v>0</v>
      </c>
      <c r="M53" s="657">
        <f t="shared" si="14"/>
        <v>0</v>
      </c>
      <c r="N53" s="571"/>
      <c r="O53"/>
      <c r="P53"/>
      <c r="Q53"/>
      <c r="R53"/>
      <c r="S53"/>
      <c r="T53"/>
    </row>
    <row r="54" spans="1:20">
      <c r="A54" s="268" t="s">
        <v>169</v>
      </c>
      <c r="B54" s="768" t="s">
        <v>242</v>
      </c>
      <c r="C54" s="154" t="str">
        <f>'RFPR cover'!$C$14</f>
        <v>£m 12/13</v>
      </c>
      <c r="D54" s="583"/>
      <c r="E54" s="584"/>
      <c r="F54" s="584"/>
      <c r="G54" s="584"/>
      <c r="H54" s="584"/>
      <c r="I54" s="584"/>
      <c r="J54" s="584"/>
      <c r="K54" s="584"/>
      <c r="L54" s="656">
        <f>SUM(D54:INDEX(D54:K54,0,MATCH('RFPR cover'!$C$7,$D$6:$K$6,0)))</f>
        <v>0</v>
      </c>
      <c r="M54" s="657">
        <f t="shared" si="14"/>
        <v>0</v>
      </c>
      <c r="N54" s="571"/>
      <c r="O54"/>
      <c r="P54"/>
      <c r="Q54"/>
      <c r="R54"/>
      <c r="S54"/>
      <c r="T54"/>
    </row>
    <row r="55" spans="1:20">
      <c r="A55" s="268" t="s">
        <v>170</v>
      </c>
      <c r="B55" s="768" t="s">
        <v>242</v>
      </c>
      <c r="C55" s="154" t="str">
        <f>'RFPR cover'!$C$14</f>
        <v>£m 12/13</v>
      </c>
      <c r="D55" s="587"/>
      <c r="E55" s="588"/>
      <c r="F55" s="588"/>
      <c r="G55" s="588"/>
      <c r="H55" s="588"/>
      <c r="I55" s="588"/>
      <c r="J55" s="588"/>
      <c r="K55" s="588"/>
      <c r="L55" s="658">
        <f>SUM(D55:INDEX(D55:K55,0,MATCH('RFPR cover'!$C$7,$D$6:$K$6,0)))</f>
        <v>0</v>
      </c>
      <c r="M55" s="659">
        <f t="shared" si="14"/>
        <v>0</v>
      </c>
      <c r="N55" s="572"/>
      <c r="O55"/>
      <c r="P55"/>
      <c r="Q55"/>
      <c r="R55"/>
      <c r="S55"/>
      <c r="T55"/>
    </row>
    <row r="56" spans="1:20">
      <c r="A56" s="35"/>
      <c r="B56" s="778" t="s">
        <v>190</v>
      </c>
      <c r="C56" s="154" t="str">
        <f>'RFPR cover'!$C$14</f>
        <v>£m 12/13</v>
      </c>
      <c r="D56" s="101">
        <f>SUM(D50:D55)</f>
        <v>0</v>
      </c>
      <c r="E56" s="102">
        <f t="shared" ref="E56:K56" si="15">SUM(E50:E55)</f>
        <v>0</v>
      </c>
      <c r="F56" s="102">
        <f t="shared" si="15"/>
        <v>0</v>
      </c>
      <c r="G56" s="102">
        <f t="shared" si="15"/>
        <v>0</v>
      </c>
      <c r="H56" s="102">
        <f t="shared" si="15"/>
        <v>0</v>
      </c>
      <c r="I56" s="102">
        <f t="shared" si="15"/>
        <v>0</v>
      </c>
      <c r="J56" s="102">
        <f t="shared" si="15"/>
        <v>0</v>
      </c>
      <c r="K56" s="102">
        <f t="shared" si="15"/>
        <v>0</v>
      </c>
      <c r="L56" s="352">
        <f>SUM(D56:INDEX(D56:K56,0,MATCH('RFPR cover'!$C$7,$D$6:$K$6,0)))</f>
        <v>0</v>
      </c>
      <c r="M56" s="353">
        <f t="shared" si="14"/>
        <v>0</v>
      </c>
      <c r="N56" s="350"/>
    </row>
    <row r="57" spans="1:20">
      <c r="A57" s="35"/>
      <c r="B57" s="770"/>
      <c r="N57" s="348"/>
    </row>
    <row r="58" spans="1:20">
      <c r="A58" s="35"/>
      <c r="B58" s="777" t="s">
        <v>198</v>
      </c>
      <c r="C58" s="158" t="str">
        <f>'RFPR cover'!$C$14</f>
        <v>£m 12/13</v>
      </c>
      <c r="D58" s="94">
        <f t="shared" ref="D58:K58" si="16">D56*D44</f>
        <v>0</v>
      </c>
      <c r="E58" s="95">
        <f t="shared" si="16"/>
        <v>0</v>
      </c>
      <c r="F58" s="95">
        <f t="shared" si="16"/>
        <v>0</v>
      </c>
      <c r="G58" s="95">
        <f t="shared" si="16"/>
        <v>0</v>
      </c>
      <c r="H58" s="95">
        <f t="shared" si="16"/>
        <v>0</v>
      </c>
      <c r="I58" s="95">
        <f t="shared" si="16"/>
        <v>0</v>
      </c>
      <c r="J58" s="95">
        <f t="shared" si="16"/>
        <v>0</v>
      </c>
      <c r="K58" s="95">
        <f t="shared" si="16"/>
        <v>0</v>
      </c>
      <c r="L58" s="354">
        <f>SUM(D58:INDEX(D58:K58,0,MATCH('RFPR cover'!$C$7,$D$6:$K$6,0)))</f>
        <v>0</v>
      </c>
      <c r="M58" s="573">
        <f>SUM(D58:K58)</f>
        <v>0</v>
      </c>
      <c r="N58" s="350"/>
    </row>
    <row r="59" spans="1:20">
      <c r="A59" s="35"/>
      <c r="B59" s="777" t="s">
        <v>309</v>
      </c>
      <c r="C59" s="158" t="str">
        <f>'RFPR cover'!$C$14</f>
        <v>£m 12/13</v>
      </c>
      <c r="D59" s="91">
        <f t="shared" ref="D59:K59" si="17">D56*(1-D44)</f>
        <v>0</v>
      </c>
      <c r="E59" s="92">
        <f t="shared" si="17"/>
        <v>0</v>
      </c>
      <c r="F59" s="92">
        <f t="shared" si="17"/>
        <v>0</v>
      </c>
      <c r="G59" s="92">
        <f t="shared" si="17"/>
        <v>0</v>
      </c>
      <c r="H59" s="92">
        <f t="shared" si="17"/>
        <v>0</v>
      </c>
      <c r="I59" s="92">
        <f t="shared" si="17"/>
        <v>0</v>
      </c>
      <c r="J59" s="92">
        <f t="shared" si="17"/>
        <v>0</v>
      </c>
      <c r="K59" s="92">
        <f t="shared" si="17"/>
        <v>0</v>
      </c>
      <c r="L59" s="355">
        <f>SUM(D59:INDEX(D59:K59,0,MATCH('RFPR cover'!$C$7,$D$6:$K$6,0)))</f>
        <v>0</v>
      </c>
      <c r="M59" s="574">
        <f>SUM(D59:K59)</f>
        <v>0</v>
      </c>
      <c r="N59" s="350"/>
    </row>
    <row r="60" spans="1:20">
      <c r="A60" s="35"/>
      <c r="B60" s="770"/>
      <c r="N60" s="348"/>
    </row>
    <row r="61" spans="1:20">
      <c r="A61" s="35"/>
      <c r="B61" s="778" t="s">
        <v>181</v>
      </c>
      <c r="N61" s="348"/>
    </row>
    <row r="62" spans="1:20">
      <c r="A62" s="35"/>
      <c r="B62" s="770" t="s">
        <v>180</v>
      </c>
      <c r="C62" s="154" t="str">
        <f>'RFPR cover'!$C$14</f>
        <v>£m 12/13</v>
      </c>
      <c r="D62" s="94">
        <f>D46+D58</f>
        <v>0</v>
      </c>
      <c r="E62" s="95">
        <f t="shared" ref="E62:K62" si="18">E46+E58</f>
        <v>0</v>
      </c>
      <c r="F62" s="95">
        <f t="shared" si="18"/>
        <v>0</v>
      </c>
      <c r="G62" s="95">
        <f t="shared" si="18"/>
        <v>0</v>
      </c>
      <c r="H62" s="95">
        <f t="shared" si="18"/>
        <v>0</v>
      </c>
      <c r="I62" s="95">
        <f t="shared" si="18"/>
        <v>0</v>
      </c>
      <c r="J62" s="95">
        <f t="shared" si="18"/>
        <v>0</v>
      </c>
      <c r="K62" s="95">
        <f t="shared" si="18"/>
        <v>0</v>
      </c>
      <c r="L62" s="354">
        <f>SUM(D62:INDEX(D62:K62,0,MATCH('RFPR cover'!$C$7,$D$6:$K$6,0)))</f>
        <v>0</v>
      </c>
      <c r="M62" s="573">
        <f>SUM(D62:K62)</f>
        <v>0</v>
      </c>
      <c r="N62" s="350"/>
    </row>
    <row r="63" spans="1:20">
      <c r="A63" s="35"/>
      <c r="B63" s="770" t="s">
        <v>280</v>
      </c>
      <c r="C63" s="154" t="str">
        <f>'RFPR cover'!$C$14</f>
        <v>£m 12/13</v>
      </c>
      <c r="D63" s="97">
        <f>D47+D59</f>
        <v>0</v>
      </c>
      <c r="E63" s="98">
        <f t="shared" ref="E63:K63" si="19">E47+E59</f>
        <v>0</v>
      </c>
      <c r="F63" s="98">
        <f t="shared" si="19"/>
        <v>0</v>
      </c>
      <c r="G63" s="98">
        <f t="shared" si="19"/>
        <v>0</v>
      </c>
      <c r="H63" s="98">
        <f t="shared" si="19"/>
        <v>0</v>
      </c>
      <c r="I63" s="98">
        <f t="shared" si="19"/>
        <v>0</v>
      </c>
      <c r="J63" s="98">
        <f t="shared" si="19"/>
        <v>0</v>
      </c>
      <c r="K63" s="98">
        <f t="shared" si="19"/>
        <v>0</v>
      </c>
      <c r="L63" s="356">
        <f>SUM(D63:INDEX(D63:K63,0,MATCH('RFPR cover'!$C$7,$D$6:$K$6,0)))</f>
        <v>0</v>
      </c>
      <c r="M63" s="574">
        <f>SUM(D63:K63)</f>
        <v>0</v>
      </c>
      <c r="N63" s="350"/>
    </row>
    <row r="64" spans="1:20">
      <c r="A64" s="35"/>
      <c r="B64" s="778" t="s">
        <v>11</v>
      </c>
      <c r="C64" s="155" t="str">
        <f>'RFPR cover'!$C$14</f>
        <v>£m 12/13</v>
      </c>
      <c r="D64" s="138">
        <f>SUM(D62:D63)</f>
        <v>0</v>
      </c>
      <c r="E64" s="139">
        <f t="shared" ref="E64:K64" si="20">SUM(E62:E63)</f>
        <v>0</v>
      </c>
      <c r="F64" s="139">
        <f t="shared" si="20"/>
        <v>0</v>
      </c>
      <c r="G64" s="139">
        <f t="shared" si="20"/>
        <v>0</v>
      </c>
      <c r="H64" s="139">
        <f t="shared" si="20"/>
        <v>0</v>
      </c>
      <c r="I64" s="139">
        <f t="shared" si="20"/>
        <v>0</v>
      </c>
      <c r="J64" s="139">
        <f t="shared" si="20"/>
        <v>0</v>
      </c>
      <c r="K64" s="139">
        <f t="shared" si="20"/>
        <v>0</v>
      </c>
      <c r="L64" s="357">
        <f>SUM(D64:INDEX(D64:K64,0,MATCH('RFPR cover'!$C$7,$D$6:$K$6,0)))</f>
        <v>0</v>
      </c>
      <c r="M64" s="358">
        <f>SUM(D64:K64)</f>
        <v>0</v>
      </c>
      <c r="N64" s="351"/>
    </row>
    <row r="65" spans="1:20">
      <c r="A65" s="35"/>
      <c r="B65" s="778"/>
      <c r="C65" s="155"/>
      <c r="D65" s="155"/>
      <c r="E65" s="155"/>
      <c r="F65" s="155"/>
      <c r="G65" s="155"/>
      <c r="H65" s="155"/>
      <c r="I65" s="155"/>
      <c r="J65" s="155"/>
      <c r="K65" s="155"/>
      <c r="L65" s="155"/>
      <c r="M65" s="155"/>
    </row>
    <row r="66" spans="1:20">
      <c r="A66" s="35"/>
      <c r="B66" s="773" t="s">
        <v>257</v>
      </c>
      <c r="C66" s="149"/>
      <c r="D66" s="82"/>
      <c r="E66" s="82"/>
      <c r="F66" s="82"/>
      <c r="G66" s="82"/>
      <c r="H66" s="82"/>
      <c r="I66" s="82"/>
      <c r="J66" s="82"/>
      <c r="K66" s="82"/>
      <c r="L66" s="82"/>
      <c r="M66" s="82"/>
      <c r="N66" s="82"/>
    </row>
    <row r="67" spans="1:20">
      <c r="A67" s="35"/>
      <c r="B67" s="770"/>
      <c r="O67"/>
      <c r="P67"/>
      <c r="Q67"/>
      <c r="R67"/>
      <c r="S67"/>
      <c r="T67"/>
    </row>
    <row r="68" spans="1:20">
      <c r="A68" s="35"/>
      <c r="B68" s="778" t="s">
        <v>181</v>
      </c>
    </row>
    <row r="69" spans="1:20">
      <c r="A69" s="35"/>
      <c r="B69" s="770" t="s">
        <v>180</v>
      </c>
      <c r="C69" s="154" t="str">
        <f>'RFPR cover'!$C$14</f>
        <v>£m 12/13</v>
      </c>
      <c r="D69" s="94">
        <f>D34+D62</f>
        <v>3.9002979947646343</v>
      </c>
      <c r="E69" s="95">
        <f t="shared" ref="E69:K69" si="21">E34+E62</f>
        <v>5.511189723562266</v>
      </c>
      <c r="F69" s="95">
        <f t="shared" si="21"/>
        <v>-6.9336230229277991</v>
      </c>
      <c r="G69" s="95">
        <f t="shared" si="21"/>
        <v>4.654248534667488</v>
      </c>
      <c r="H69" s="95">
        <f t="shared" si="21"/>
        <v>4.684183077405768</v>
      </c>
      <c r="I69" s="95">
        <f t="shared" si="21"/>
        <v>1.6920896254853388</v>
      </c>
      <c r="J69" s="95">
        <f t="shared" si="21"/>
        <v>-2.4068033961746078</v>
      </c>
      <c r="K69" s="95">
        <f t="shared" si="21"/>
        <v>-1.4927302300210981</v>
      </c>
      <c r="L69" s="94">
        <f>SUM(D69:INDEX(D69:K69,0,MATCH('RFPR cover'!$C$7,$D$6:$K$6,0)))</f>
        <v>11.816296307472356</v>
      </c>
      <c r="M69" s="96">
        <f>SUM(D69:K69)</f>
        <v>9.6088523067619889</v>
      </c>
    </row>
    <row r="70" spans="1:20">
      <c r="A70" s="35"/>
      <c r="B70" s="770" t="s">
        <v>280</v>
      </c>
      <c r="C70" s="154" t="str">
        <f>'RFPR cover'!$C$14</f>
        <v>£m 12/13</v>
      </c>
      <c r="D70" s="518">
        <f t="shared" ref="D70:K70" si="22">D35+D63</f>
        <v>9.1006953211174775</v>
      </c>
      <c r="E70" s="519">
        <f t="shared" si="22"/>
        <v>12.859442688311951</v>
      </c>
      <c r="F70" s="519">
        <f t="shared" si="22"/>
        <v>-16.17845372016486</v>
      </c>
      <c r="G70" s="519">
        <f t="shared" si="22"/>
        <v>10.859913247557468</v>
      </c>
      <c r="H70" s="519">
        <f t="shared" si="22"/>
        <v>10.929760513946789</v>
      </c>
      <c r="I70" s="519">
        <f t="shared" si="22"/>
        <v>3.9482091261324568</v>
      </c>
      <c r="J70" s="519">
        <f t="shared" si="22"/>
        <v>-5.6158745910740819</v>
      </c>
      <c r="K70" s="519">
        <f t="shared" si="22"/>
        <v>-3.4830372033825618</v>
      </c>
      <c r="L70" s="518">
        <f>SUM(D70:INDEX(D70:K70,0,MATCH('RFPR cover'!$C$7,$D$6:$K$6,0)))</f>
        <v>27.571358050768826</v>
      </c>
      <c r="M70" s="520">
        <f>SUM(D70:K70)</f>
        <v>22.42065538244464</v>
      </c>
    </row>
    <row r="71" spans="1:20">
      <c r="A71" s="35"/>
      <c r="B71" s="778" t="s">
        <v>11</v>
      </c>
      <c r="C71" s="155" t="str">
        <f>'RFPR cover'!$C$14</f>
        <v>£m 12/13</v>
      </c>
      <c r="D71" s="144">
        <f>SUM(D69:D70)</f>
        <v>13.000993315882113</v>
      </c>
      <c r="E71" s="145">
        <f t="shared" ref="E71:K71" si="23">SUM(E69:E70)</f>
        <v>18.370632411874219</v>
      </c>
      <c r="F71" s="145">
        <f t="shared" si="23"/>
        <v>-23.112076743092658</v>
      </c>
      <c r="G71" s="145">
        <f t="shared" si="23"/>
        <v>15.514161782224956</v>
      </c>
      <c r="H71" s="145">
        <f t="shared" si="23"/>
        <v>15.613943591352557</v>
      </c>
      <c r="I71" s="145">
        <f t="shared" si="23"/>
        <v>5.6402987516177951</v>
      </c>
      <c r="J71" s="145">
        <f t="shared" si="23"/>
        <v>-8.0226779872486897</v>
      </c>
      <c r="K71" s="145">
        <f t="shared" si="23"/>
        <v>-4.9757674334036599</v>
      </c>
      <c r="L71" s="144">
        <f>SUM(D71:INDEX(D71:K71,0,MATCH('RFPR cover'!$C$7,$D$6:$K$6,0)))</f>
        <v>39.387654358241186</v>
      </c>
      <c r="M71" s="146">
        <f>SUM(D71:K71)</f>
        <v>32.029507689206632</v>
      </c>
    </row>
    <row r="72" spans="1:20">
      <c r="A72" s="35"/>
      <c r="B72" s="778"/>
      <c r="C72" s="155"/>
      <c r="D72" s="155"/>
      <c r="E72" s="155"/>
      <c r="F72" s="155"/>
      <c r="G72" s="155"/>
      <c r="H72" s="155"/>
      <c r="I72" s="155"/>
      <c r="J72" s="155"/>
      <c r="K72" s="155"/>
      <c r="L72" s="155"/>
      <c r="M72" s="155"/>
    </row>
    <row r="73" spans="1:20">
      <c r="A73" s="35"/>
      <c r="B73" s="770"/>
    </row>
    <row r="74" spans="1:20">
      <c r="A74" s="35"/>
      <c r="B74" s="773" t="s">
        <v>214</v>
      </c>
      <c r="C74" s="149"/>
      <c r="D74" s="81"/>
      <c r="E74" s="81"/>
      <c r="F74" s="81"/>
      <c r="G74" s="81"/>
      <c r="H74" s="81"/>
      <c r="I74" s="81"/>
      <c r="J74" s="81"/>
      <c r="K74" s="81"/>
      <c r="L74" s="81"/>
      <c r="M74" s="81"/>
      <c r="N74" s="81"/>
    </row>
    <row r="75" spans="1:20">
      <c r="A75" s="35"/>
      <c r="B75" s="365" t="s">
        <v>213</v>
      </c>
      <c r="C75" s="364"/>
      <c r="D75" s="364"/>
      <c r="E75" s="364"/>
      <c r="F75" s="364"/>
      <c r="G75" s="364"/>
      <c r="H75" s="364"/>
      <c r="I75" s="364"/>
      <c r="J75" s="364"/>
      <c r="K75" s="364"/>
      <c r="L75" s="364"/>
      <c r="M75" s="364"/>
      <c r="N75" s="364"/>
    </row>
    <row r="76" spans="1:20" s="35" customFormat="1">
      <c r="B76" s="425"/>
      <c r="C76" s="369"/>
      <c r="D76" s="369"/>
      <c r="E76" s="369"/>
      <c r="F76" s="369"/>
      <c r="G76" s="369"/>
      <c r="H76" s="369"/>
      <c r="I76" s="369"/>
      <c r="J76" s="369"/>
      <c r="K76" s="369"/>
      <c r="L76" s="369"/>
      <c r="M76" s="369"/>
      <c r="N76" s="369"/>
    </row>
    <row r="77" spans="1:20">
      <c r="A77" s="35"/>
      <c r="B77" s="777" t="s">
        <v>217</v>
      </c>
      <c r="C77" s="154" t="str">
        <f>'RFPR cover'!$C$14</f>
        <v>£m 12/13</v>
      </c>
      <c r="D77" s="660">
        <f>INDEX(Data!$C$119:$L$146,MATCH('RFPR cover'!$C$5,Data!$B$119:$B$146,0),MATCH('R4 - Totex'!D$6,Data!$C$118:$L$118,0))</f>
        <v>3.6763138465229663</v>
      </c>
      <c r="E77" s="661">
        <f>INDEX(Data!$C$119:$L$146,MATCH('RFPR cover'!$C$5,Data!$B$119:$B$146,0),MATCH('R4 - Totex'!E$6,Data!$C$118:$L$118,0))</f>
        <v>3.6748350873956013</v>
      </c>
      <c r="F77" s="661">
        <f>INDEX(Data!$C$119:$L$146,MATCH('RFPR cover'!$C$5,Data!$B$119:$B$146,0),MATCH('R4 - Totex'!F$6,Data!$C$118:$L$118,0))</f>
        <v>3.4998529635433906</v>
      </c>
      <c r="G77" s="661">
        <f>INDEX(Data!$C$119:$L$146,MATCH('RFPR cover'!$C$5,Data!$B$119:$B$146,0),MATCH('R4 - Totex'!G$6,Data!$C$118:$L$118,0))</f>
        <v>3.724685546648324</v>
      </c>
      <c r="H77" s="661">
        <f>INDEX(Data!$C$119:$L$146,MATCH('RFPR cover'!$C$5,Data!$B$119:$B$146,0),MATCH('R4 - Totex'!H$6,Data!$C$118:$L$118,0))</f>
        <v>3.4121739487309477</v>
      </c>
      <c r="I77" s="661">
        <f>INDEX(Data!$C$119:$L$146,MATCH('RFPR cover'!$C$5,Data!$B$119:$B$146,0),MATCH('R4 - Totex'!I$6,Data!$C$118:$L$118,0))</f>
        <v>3.4202241027689042</v>
      </c>
      <c r="J77" s="661">
        <f>INDEX(Data!$C$119:$L$146,MATCH('RFPR cover'!$C$5,Data!$B$119:$B$146,0),MATCH('R4 - Totex'!J$6,Data!$C$118:$L$118,0))</f>
        <v>3.3053549439575329</v>
      </c>
      <c r="K77" s="662">
        <f>INDEX(Data!$C$119:$L$146,MATCH('RFPR cover'!$C$5,Data!$B$119:$B$146,0),MATCH('R4 - Totex'!K$6,Data!$C$118:$L$118,0))</f>
        <v>3.3633285641010966</v>
      </c>
      <c r="L77" s="97">
        <f>SUM(D77:INDEX(D77:K77,0,MATCH('RFPR cover'!$C$7,$D$6:$K$6,0)))</f>
        <v>17.987861392841232</v>
      </c>
      <c r="M77" s="99">
        <f>SUM(D77:K77)</f>
        <v>28.076769003668765</v>
      </c>
    </row>
    <row r="78" spans="1:20">
      <c r="A78" s="35"/>
      <c r="B78" s="224" t="s">
        <v>201</v>
      </c>
      <c r="C78" s="154" t="s">
        <v>7</v>
      </c>
      <c r="D78" s="878">
        <f>IF(INDEX(Data!$J$73:$J$100,MATCH('RFPR cover'!$C$5,Data!$B$73:$B$100,0),0)="Pre",INDEX(Data!$G$18:$G$27,MATCH('R4 - Totex'!D$6,Data!$C$18:$C$27,0),0),"n/a")</f>
        <v>0.2</v>
      </c>
      <c r="E78" s="878">
        <f>IF(INDEX(Data!$J$73:$J$100,MATCH('RFPR cover'!$C$5,Data!$B$73:$B$100,0),0)="Pre",INDEX(Data!$G$18:$G$27,MATCH('R4 - Totex'!E$6,Data!$C$18:$C$27,0),0),"n/a")</f>
        <v>0.2</v>
      </c>
      <c r="F78" s="878">
        <f>IF(INDEX(Data!$J$73:$J$100,MATCH('RFPR cover'!$C$5,Data!$B$73:$B$100,0),0)="Pre",INDEX(Data!$G$18:$G$27,MATCH('R4 - Totex'!F$6,Data!$C$18:$C$27,0),0),"n/a")</f>
        <v>0.19</v>
      </c>
      <c r="G78" s="878">
        <f>IF(INDEX(Data!$J$73:$J$100,MATCH('RFPR cover'!$C$5,Data!$B$73:$B$100,0),0)="Pre",INDEX(Data!$G$18:$G$27,MATCH('R4 - Totex'!G$6,Data!$C$18:$C$27,0),0),"n/a")</f>
        <v>0.19</v>
      </c>
      <c r="H78" s="878">
        <f>IF(INDEX(Data!$J$73:$J$100,MATCH('RFPR cover'!$C$5,Data!$B$73:$B$100,0),0)="Pre",INDEX(Data!$G$18:$G$27,MATCH('R4 - Totex'!H$6,Data!$C$18:$C$27,0),0),"n/a")</f>
        <v>0.19</v>
      </c>
      <c r="I78" s="878">
        <f>IF(INDEX(Data!$J$73:$J$100,MATCH('RFPR cover'!$C$5,Data!$B$73:$B$100,0),0)="Pre",INDEX(Data!$G$18:$G$27,MATCH('R4 - Totex'!I$6,Data!$C$18:$C$27,0),0),"n/a")</f>
        <v>0.19</v>
      </c>
      <c r="J78" s="878">
        <f>IF(INDEX(Data!$J$73:$J$100,MATCH('RFPR cover'!$C$5,Data!$B$73:$B$100,0),0)="Pre",INDEX(Data!$G$18:$G$27,MATCH('R4 - Totex'!J$6,Data!$C$18:$C$27,0),0),"n/a")</f>
        <v>0.19</v>
      </c>
      <c r="K78" s="878">
        <f>IF(INDEX(Data!$J$73:$J$100,MATCH('RFPR cover'!$C$5,Data!$B$73:$B$100,0),0)="Pre",INDEX(Data!$G$18:$G$27,MATCH('R4 - Totex'!K$6,Data!$C$18:$C$27,0),0),"n/a")</f>
        <v>0.19</v>
      </c>
      <c r="L78" s="876"/>
      <c r="M78" s="877"/>
    </row>
    <row r="79" spans="1:20">
      <c r="A79" s="35"/>
      <c r="B79" s="224" t="s">
        <v>210</v>
      </c>
      <c r="C79" s="154" t="str">
        <f>'RFPR cover'!$C$14</f>
        <v>£m 12/13</v>
      </c>
      <c r="D79" s="607">
        <f>IF(ISNUMBER(D78),D77*(1-D78),D77)</f>
        <v>2.9410510772183733</v>
      </c>
      <c r="E79" s="608">
        <f t="shared" ref="E79:K79" si="24">IF(ISNUMBER(E78),E77*(1-E78),E77)</f>
        <v>2.9398680699164812</v>
      </c>
      <c r="F79" s="608">
        <f t="shared" si="24"/>
        <v>2.8348809004701465</v>
      </c>
      <c r="G79" s="608">
        <f t="shared" si="24"/>
        <v>3.0169952927851424</v>
      </c>
      <c r="H79" s="608">
        <f t="shared" si="24"/>
        <v>2.7638608984720676</v>
      </c>
      <c r="I79" s="608">
        <f t="shared" si="24"/>
        <v>2.7703815232428126</v>
      </c>
      <c r="J79" s="608">
        <f t="shared" si="24"/>
        <v>2.6773375046056018</v>
      </c>
      <c r="K79" s="609">
        <f t="shared" si="24"/>
        <v>2.7242961369218883</v>
      </c>
      <c r="L79" s="666">
        <f>SUM(D79:INDEX(D79:K79,0,MATCH('RFPR cover'!$C$7,$D$6:$K$6,0)))</f>
        <v>14.496656238862212</v>
      </c>
      <c r="M79" s="667">
        <f>SUM(D79:K79)</f>
        <v>22.668671403632516</v>
      </c>
    </row>
    <row r="80" spans="1:20">
      <c r="A80" s="35"/>
      <c r="B80" s="224"/>
      <c r="C80" s="66"/>
      <c r="D80" s="281"/>
      <c r="E80" s="281"/>
      <c r="F80" s="281"/>
      <c r="G80" s="281"/>
      <c r="H80" s="281"/>
      <c r="I80" s="281"/>
      <c r="J80" s="281"/>
      <c r="K80" s="281"/>
      <c r="L80" s="282"/>
      <c r="M80" s="282"/>
    </row>
    <row r="81" spans="1:20">
      <c r="A81" s="35"/>
      <c r="B81" s="224"/>
      <c r="C81" s="66"/>
      <c r="D81" s="281"/>
      <c r="E81" s="281"/>
      <c r="F81" s="281"/>
      <c r="G81" s="281"/>
      <c r="H81" s="281"/>
      <c r="I81" s="281"/>
      <c r="J81" s="281"/>
      <c r="K81" s="281"/>
      <c r="L81" s="282"/>
      <c r="M81" s="282"/>
    </row>
    <row r="82" spans="1:20">
      <c r="A82" s="35"/>
      <c r="B82" s="224"/>
      <c r="C82" s="66"/>
      <c r="D82" s="281"/>
      <c r="E82" s="281"/>
      <c r="F82" s="281"/>
      <c r="G82" s="281"/>
      <c r="H82" s="281"/>
      <c r="I82" s="281"/>
      <c r="J82" s="281"/>
      <c r="K82" s="281"/>
      <c r="L82" s="282"/>
      <c r="M82" s="282"/>
    </row>
    <row r="83" spans="1:20">
      <c r="A83" s="35"/>
      <c r="B83" s="770"/>
    </row>
    <row r="84" spans="1:20">
      <c r="A84" s="35"/>
      <c r="B84" s="772" t="s">
        <v>187</v>
      </c>
      <c r="C84" s="289"/>
      <c r="D84" s="291"/>
      <c r="E84" s="291"/>
      <c r="F84" s="291"/>
      <c r="G84" s="291"/>
      <c r="H84" s="291"/>
      <c r="I84" s="291"/>
      <c r="J84" s="291"/>
      <c r="K84" s="291"/>
      <c r="L84" s="291"/>
      <c r="M84" s="291"/>
      <c r="N84" s="291"/>
    </row>
    <row r="85" spans="1:20">
      <c r="A85" s="35"/>
      <c r="B85" s="778"/>
    </row>
    <row r="86" spans="1:20">
      <c r="A86" s="35"/>
      <c r="B86" s="777" t="str">
        <f>Data!B34</f>
        <v>Financial Year Average RPI (RPIt)</v>
      </c>
      <c r="C86" s="135" t="s">
        <v>127</v>
      </c>
      <c r="D86" s="111">
        <f>Data!C$34</f>
        <v>1.0603167467048125</v>
      </c>
      <c r="E86" s="112">
        <f>Data!D$34</f>
        <v>1.0830366813119445</v>
      </c>
      <c r="F86" s="112">
        <f>Data!E$34</f>
        <v>1.1235639113109226</v>
      </c>
      <c r="G86" s="112">
        <f>Data!F$34</f>
        <v>1.1578951670583426</v>
      </c>
      <c r="H86" s="112">
        <f>Data!G$34</f>
        <v>1.1878696229692449</v>
      </c>
      <c r="I86" s="112">
        <f>Data!H$34</f>
        <v>1.2080634065597218</v>
      </c>
      <c r="J86" s="112">
        <f>Data!I$34</f>
        <v>1.2337347539491161</v>
      </c>
      <c r="K86" s="113">
        <f>Data!J$34</f>
        <v>1.2655034238633056</v>
      </c>
    </row>
    <row r="87" spans="1:20">
      <c r="A87" s="35"/>
      <c r="B87" s="777"/>
      <c r="D87" s="135"/>
      <c r="E87" s="135"/>
      <c r="F87" s="135"/>
      <c r="G87" s="135"/>
      <c r="H87" s="135"/>
      <c r="I87" s="135"/>
      <c r="J87" s="135"/>
      <c r="K87" s="135"/>
    </row>
    <row r="88" spans="1:20">
      <c r="A88" s="35"/>
      <c r="B88" s="773" t="str">
        <f>B10</f>
        <v>Totex</v>
      </c>
      <c r="C88" s="149"/>
      <c r="D88" s="82"/>
      <c r="E88" s="82"/>
      <c r="F88" s="82"/>
      <c r="G88" s="82"/>
      <c r="H88" s="82"/>
      <c r="I88" s="82"/>
      <c r="J88" s="82"/>
      <c r="K88" s="82"/>
      <c r="L88" s="82"/>
      <c r="M88" s="82"/>
      <c r="N88" s="82"/>
    </row>
    <row r="89" spans="1:20" s="35" customFormat="1">
      <c r="B89" s="774"/>
      <c r="C89" s="137"/>
      <c r="D89" s="318"/>
      <c r="E89" s="318"/>
      <c r="F89" s="318"/>
      <c r="G89" s="318"/>
      <c r="H89" s="318"/>
      <c r="I89" s="318"/>
      <c r="J89" s="318"/>
      <c r="K89" s="318"/>
      <c r="L89" s="318"/>
      <c r="M89" s="318"/>
      <c r="N89" s="318"/>
    </row>
    <row r="90" spans="1:20">
      <c r="A90" s="35"/>
      <c r="B90" s="303" t="s">
        <v>34</v>
      </c>
      <c r="C90" s="154" t="s">
        <v>128</v>
      </c>
      <c r="D90" s="669">
        <f>D12*D$86</f>
        <v>141.99940000000001</v>
      </c>
      <c r="E90" s="669">
        <f t="shared" ref="D90:K91" si="25">E12*E$86</f>
        <v>150.77387796407257</v>
      </c>
      <c r="F90" s="669">
        <f t="shared" si="25"/>
        <v>137.5229284163261</v>
      </c>
      <c r="G90" s="669">
        <f t="shared" si="25"/>
        <v>147.90860278</v>
      </c>
      <c r="H90" s="669">
        <f t="shared" si="25"/>
        <v>143.44716818331872</v>
      </c>
      <c r="I90" s="669">
        <f t="shared" si="25"/>
        <v>158.91806347597478</v>
      </c>
      <c r="J90" s="669">
        <f t="shared" si="25"/>
        <v>175.91813593382582</v>
      </c>
      <c r="K90" s="669">
        <f t="shared" si="25"/>
        <v>178.4967016358849</v>
      </c>
      <c r="L90" s="668">
        <f>SUM(D90:INDEX(D90:K90,0,MATCH('RFPR cover'!$C$7,$D$6:$K$6,0)))</f>
        <v>721.65197734371736</v>
      </c>
      <c r="M90" s="669">
        <f>SUM(D90:K90)</f>
        <v>1234.9848783894029</v>
      </c>
      <c r="N90" s="63"/>
      <c r="O90" s="63"/>
    </row>
    <row r="91" spans="1:20" ht="25.2">
      <c r="A91" s="35"/>
      <c r="B91" s="775" t="s">
        <v>197</v>
      </c>
      <c r="C91" s="154" t="s">
        <v>128</v>
      </c>
      <c r="D91" s="669">
        <f t="shared" si="25"/>
        <v>155.78457093662715</v>
      </c>
      <c r="E91" s="669">
        <f t="shared" si="25"/>
        <v>160.5564640946246</v>
      </c>
      <c r="F91" s="669">
        <f t="shared" si="25"/>
        <v>157.67356447353941</v>
      </c>
      <c r="G91" s="669">
        <f t="shared" si="25"/>
        <v>172.95060287838453</v>
      </c>
      <c r="H91" s="669">
        <f t="shared" si="25"/>
        <v>162.12871127938038</v>
      </c>
      <c r="I91" s="669">
        <f t="shared" si="25"/>
        <v>149.90250444648092</v>
      </c>
      <c r="J91" s="669">
        <f t="shared" si="25"/>
        <v>147.41920973066911</v>
      </c>
      <c r="K91" s="669">
        <f t="shared" si="25"/>
        <v>154.14988697265102</v>
      </c>
      <c r="L91" s="670">
        <f>SUM(D91:INDEX(D91:K91,0,MATCH('RFPR cover'!$C$7,$D$6:$K$6,0)))</f>
        <v>809.09391366255602</v>
      </c>
      <c r="M91" s="671">
        <f>SUM(D91:K91)</f>
        <v>1260.5655148123572</v>
      </c>
      <c r="N91" s="63"/>
      <c r="O91" s="63"/>
    </row>
    <row r="92" spans="1:20">
      <c r="A92" s="35"/>
      <c r="B92" s="776" t="s">
        <v>195</v>
      </c>
      <c r="C92" s="154" t="s">
        <v>128</v>
      </c>
      <c r="D92" s="101">
        <f>D91-D90</f>
        <v>13.785170936627139</v>
      </c>
      <c r="E92" s="102">
        <f t="shared" ref="E92:M92" si="26">E91-E90</f>
        <v>9.7825861305520334</v>
      </c>
      <c r="F92" s="102">
        <f t="shared" si="26"/>
        <v>20.150636057213319</v>
      </c>
      <c r="G92" s="102">
        <f t="shared" si="26"/>
        <v>25.042000098384534</v>
      </c>
      <c r="H92" s="102">
        <f t="shared" si="26"/>
        <v>18.68154309606166</v>
      </c>
      <c r="I92" s="102">
        <f t="shared" si="26"/>
        <v>-9.0155590294938577</v>
      </c>
      <c r="J92" s="102">
        <f t="shared" si="26"/>
        <v>-28.498926203156714</v>
      </c>
      <c r="K92" s="103">
        <f t="shared" si="26"/>
        <v>-24.346814663233886</v>
      </c>
      <c r="L92" s="101">
        <f t="shared" si="26"/>
        <v>87.441936318838657</v>
      </c>
      <c r="M92" s="103">
        <f t="shared" si="26"/>
        <v>25.580636422954285</v>
      </c>
      <c r="N92" s="63"/>
      <c r="O92" s="1007"/>
      <c r="P92" s="1007"/>
      <c r="Q92" s="1007"/>
      <c r="R92"/>
      <c r="S92"/>
      <c r="T92"/>
    </row>
    <row r="93" spans="1:20" ht="13.2">
      <c r="A93" s="35"/>
      <c r="B93" s="776"/>
      <c r="C93" s="154"/>
      <c r="D93" s="59"/>
      <c r="E93" s="59"/>
      <c r="F93" s="59"/>
      <c r="G93" s="59"/>
      <c r="H93" s="59"/>
      <c r="I93" s="59"/>
      <c r="J93" s="59"/>
      <c r="K93" s="59"/>
      <c r="L93" s="59"/>
      <c r="M93" s="59"/>
      <c r="O93" s="64"/>
      <c r="P93" s="64"/>
      <c r="Q93" s="64"/>
      <c r="R93"/>
      <c r="S93"/>
      <c r="T93"/>
    </row>
    <row r="94" spans="1:20">
      <c r="A94" s="35"/>
      <c r="B94" s="770" t="s">
        <v>178</v>
      </c>
      <c r="C94" s="135" t="s">
        <v>7</v>
      </c>
      <c r="D94" s="108">
        <f>1-INDEX(Data!$D$73:$D$100,MATCH('RFPR cover'!$C$5,Data!$B$73:$B$100,0),0)</f>
        <v>0.30000000000000004</v>
      </c>
      <c r="E94" s="109">
        <f>1-INDEX(Data!$D$73:$D$100,MATCH('RFPR cover'!$C$5,Data!$B$73:$B$100,0),0)</f>
        <v>0.30000000000000004</v>
      </c>
      <c r="F94" s="109">
        <f>1-INDEX(Data!$D$73:$D$100,MATCH('RFPR cover'!$C$5,Data!$B$73:$B$100,0),0)</f>
        <v>0.30000000000000004</v>
      </c>
      <c r="G94" s="109">
        <f>1-INDEX(Data!$D$73:$D$100,MATCH('RFPR cover'!$C$5,Data!$B$73:$B$100,0),0)</f>
        <v>0.30000000000000004</v>
      </c>
      <c r="H94" s="109">
        <f>1-INDEX(Data!$D$73:$D$100,MATCH('RFPR cover'!$C$5,Data!$B$73:$B$100,0),0)</f>
        <v>0.30000000000000004</v>
      </c>
      <c r="I94" s="109">
        <f>1-INDEX(Data!$D$73:$D$100,MATCH('RFPR cover'!$C$5,Data!$B$73:$B$100,0),0)</f>
        <v>0.30000000000000004</v>
      </c>
      <c r="J94" s="109">
        <f>1-INDEX(Data!$D$73:$D$100,MATCH('RFPR cover'!$C$5,Data!$B$73:$B$100,0),0)</f>
        <v>0.30000000000000004</v>
      </c>
      <c r="K94" s="110">
        <f>1-INDEX(Data!$D$73:$D$100,MATCH('RFPR cover'!$C$5,Data!$B$73:$B$100,0),0)</f>
        <v>0.30000000000000004</v>
      </c>
      <c r="L94" s="62"/>
      <c r="M94" s="62"/>
      <c r="O94"/>
      <c r="P94"/>
      <c r="Q94"/>
      <c r="R94"/>
      <c r="S94"/>
      <c r="T94"/>
    </row>
    <row r="95" spans="1:20">
      <c r="A95" s="35"/>
      <c r="B95" s="770"/>
      <c r="O95"/>
      <c r="P95"/>
      <c r="Q95"/>
      <c r="R95"/>
      <c r="S95"/>
      <c r="T95"/>
    </row>
    <row r="96" spans="1:20">
      <c r="A96" s="35"/>
      <c r="B96" s="777" t="s">
        <v>183</v>
      </c>
      <c r="C96" s="154" t="s">
        <v>128</v>
      </c>
      <c r="D96" s="94">
        <f>D92*D94</f>
        <v>4.1355512809881425</v>
      </c>
      <c r="E96" s="95">
        <f t="shared" ref="E96:K96" si="27">E92*E94</f>
        <v>2.9347758391656105</v>
      </c>
      <c r="F96" s="95">
        <f t="shared" si="27"/>
        <v>6.0451908171639968</v>
      </c>
      <c r="G96" s="95">
        <f t="shared" si="27"/>
        <v>7.5126000295153617</v>
      </c>
      <c r="H96" s="95">
        <f t="shared" si="27"/>
        <v>5.6044629288184984</v>
      </c>
      <c r="I96" s="95">
        <f t="shared" si="27"/>
        <v>-2.7046677088481577</v>
      </c>
      <c r="J96" s="95">
        <f t="shared" si="27"/>
        <v>-8.5496778609470159</v>
      </c>
      <c r="K96" s="95">
        <f t="shared" si="27"/>
        <v>-7.3040443989701664</v>
      </c>
      <c r="L96" s="94">
        <f>SUM(D96:INDEX(D96:K96,0,MATCH('RFPR cover'!$C$7,$D$6:$K$6,0)))</f>
        <v>26.232580895651608</v>
      </c>
      <c r="M96" s="96">
        <f>SUM(D96:K96)</f>
        <v>7.6741909268862702</v>
      </c>
      <c r="O96"/>
      <c r="P96"/>
      <c r="Q96"/>
      <c r="R96"/>
      <c r="S96"/>
      <c r="T96"/>
    </row>
    <row r="97" spans="1:20">
      <c r="A97" s="35"/>
      <c r="B97" s="777" t="s">
        <v>280</v>
      </c>
      <c r="C97" s="154" t="s">
        <v>128</v>
      </c>
      <c r="D97" s="91">
        <f>D92*(1-D94)</f>
        <v>9.6496196556389968</v>
      </c>
      <c r="E97" s="92">
        <f t="shared" ref="E97:K97" si="28">E92*(1-E94)</f>
        <v>6.8478102913864234</v>
      </c>
      <c r="F97" s="92">
        <f t="shared" si="28"/>
        <v>14.105445240049322</v>
      </c>
      <c r="G97" s="92">
        <f t="shared" si="28"/>
        <v>17.529400068869172</v>
      </c>
      <c r="H97" s="92">
        <f t="shared" si="28"/>
        <v>13.07708016724316</v>
      </c>
      <c r="I97" s="92">
        <f t="shared" si="28"/>
        <v>-6.3108913206457</v>
      </c>
      <c r="J97" s="92">
        <f t="shared" si="28"/>
        <v>-19.9492483422097</v>
      </c>
      <c r="K97" s="92">
        <f t="shared" si="28"/>
        <v>-17.042770264263719</v>
      </c>
      <c r="L97" s="91">
        <f>SUM(D97:INDEX(D97:K97,0,MATCH('RFPR cover'!$C$7,$D$6:$K$6,0)))</f>
        <v>61.209355423187077</v>
      </c>
      <c r="M97" s="93">
        <f>SUM(D97:K97)</f>
        <v>17.906445496067956</v>
      </c>
      <c r="O97"/>
      <c r="P97"/>
      <c r="Q97"/>
      <c r="R97"/>
      <c r="S97"/>
      <c r="T97"/>
    </row>
    <row r="98" spans="1:20">
      <c r="A98" s="35"/>
      <c r="B98" s="770"/>
      <c r="O98"/>
      <c r="P98"/>
      <c r="Q98"/>
      <c r="R98"/>
      <c r="S98"/>
      <c r="T98"/>
    </row>
    <row r="99" spans="1:20">
      <c r="A99" s="35"/>
      <c r="B99" s="778" t="s">
        <v>182</v>
      </c>
      <c r="N99" s="63"/>
      <c r="O99"/>
      <c r="P99"/>
      <c r="Q99"/>
      <c r="R99"/>
      <c r="S99"/>
      <c r="T99"/>
    </row>
    <row r="100" spans="1:20">
      <c r="A100" s="268" t="s">
        <v>151</v>
      </c>
      <c r="B100" s="224" t="str">
        <f t="shared" ref="B100:B105" si="29">B22</f>
        <v>Pensions prepayment (See Appendices within RFPR commentary documentation)</v>
      </c>
      <c r="C100" s="154" t="s">
        <v>128</v>
      </c>
      <c r="D100" s="589">
        <f t="shared" ref="D100:K105" si="30">D22*D$86</f>
        <v>0</v>
      </c>
      <c r="E100" s="589">
        <f t="shared" si="30"/>
        <v>10.113482630405867</v>
      </c>
      <c r="F100" s="589">
        <f t="shared" si="30"/>
        <v>-9.6110450968352854</v>
      </c>
      <c r="G100" s="589">
        <f t="shared" si="30"/>
        <v>-0.50243753357058019</v>
      </c>
      <c r="H100" s="589">
        <f t="shared" si="30"/>
        <v>0</v>
      </c>
      <c r="I100" s="589">
        <f t="shared" si="30"/>
        <v>0</v>
      </c>
      <c r="J100" s="589">
        <f t="shared" si="30"/>
        <v>0</v>
      </c>
      <c r="K100" s="589">
        <f t="shared" si="30"/>
        <v>0</v>
      </c>
      <c r="L100" s="581">
        <f>SUM(D100:INDEX(D100:K100,0,MATCH('RFPR cover'!$C$7,$D$6:$K$6,0)))</f>
        <v>1.7763568394002505E-15</v>
      </c>
      <c r="M100" s="582">
        <f t="shared" ref="M100:M106" si="31">SUM(D100:K100)</f>
        <v>1.7763568394002505E-15</v>
      </c>
      <c r="N100" s="63"/>
      <c r="O100"/>
      <c r="P100"/>
      <c r="Q100"/>
      <c r="R100"/>
      <c r="S100"/>
      <c r="T100"/>
    </row>
    <row r="101" spans="1:20">
      <c r="A101" s="268" t="s">
        <v>152</v>
      </c>
      <c r="B101" s="224" t="str">
        <f t="shared" si="29"/>
        <v>Rail Electrification (See Appendices within RFRS commentary documentation)</v>
      </c>
      <c r="C101" s="154" t="s">
        <v>128</v>
      </c>
      <c r="D101" s="589">
        <f t="shared" si="30"/>
        <v>0</v>
      </c>
      <c r="E101" s="589">
        <f t="shared" si="30"/>
        <v>0</v>
      </c>
      <c r="F101" s="589">
        <f t="shared" si="30"/>
        <v>-36.507486304365457</v>
      </c>
      <c r="G101" s="589">
        <f t="shared" si="30"/>
        <v>-6.5757896162144283</v>
      </c>
      <c r="H101" s="589">
        <f t="shared" si="30"/>
        <v>0</v>
      </c>
      <c r="I101" s="589">
        <f t="shared" si="30"/>
        <v>15.371398785065898</v>
      </c>
      <c r="J101" s="589">
        <f t="shared" si="30"/>
        <v>15.698041009248552</v>
      </c>
      <c r="K101" s="589">
        <f t="shared" si="30"/>
        <v>16.101842114620361</v>
      </c>
      <c r="L101" s="585">
        <f>SUM(D101:INDEX(D101:K101,0,MATCH('RFPR cover'!$C$7,$D$6:$K$6,0)))</f>
        <v>-43.083275920579887</v>
      </c>
      <c r="M101" s="586">
        <f t="shared" si="31"/>
        <v>4.0880059883549258</v>
      </c>
      <c r="N101" s="63"/>
      <c r="O101"/>
      <c r="P101"/>
      <c r="Q101"/>
      <c r="R101"/>
      <c r="S101"/>
      <c r="T101"/>
    </row>
    <row r="102" spans="1:20">
      <c r="A102" s="268" t="s">
        <v>153</v>
      </c>
      <c r="B102" s="224" t="str">
        <f t="shared" si="29"/>
        <v>TIM neutral and Smart meter adjustments to Totex allowance</v>
      </c>
      <c r="C102" s="154" t="s">
        <v>128</v>
      </c>
      <c r="D102" s="589">
        <f t="shared" si="30"/>
        <v>0</v>
      </c>
      <c r="E102" s="589">
        <f t="shared" si="30"/>
        <v>0</v>
      </c>
      <c r="F102" s="589">
        <f t="shared" si="30"/>
        <v>0</v>
      </c>
      <c r="G102" s="589">
        <f t="shared" si="30"/>
        <v>0</v>
      </c>
      <c r="H102" s="589">
        <f t="shared" si="30"/>
        <v>-0.13421380913863876</v>
      </c>
      <c r="I102" s="589">
        <f t="shared" si="30"/>
        <v>0.45799876832189346</v>
      </c>
      <c r="J102" s="589">
        <f t="shared" si="30"/>
        <v>2.9030285412969046</v>
      </c>
      <c r="K102" s="589">
        <f t="shared" si="30"/>
        <v>1.9481218252936623</v>
      </c>
      <c r="L102" s="585">
        <f>SUM(D102:INDEX(D102:K102,0,MATCH('RFPR cover'!$C$7,$D$6:$K$6,0)))</f>
        <v>-0.13421380913863876</v>
      </c>
      <c r="M102" s="586">
        <f t="shared" si="31"/>
        <v>5.1749353257738218</v>
      </c>
      <c r="N102" s="63"/>
      <c r="O102"/>
      <c r="P102"/>
      <c r="Q102"/>
      <c r="R102"/>
      <c r="S102" s="65"/>
      <c r="T102"/>
    </row>
    <row r="103" spans="1:20">
      <c r="A103" s="268" t="s">
        <v>168</v>
      </c>
      <c r="B103" s="224" t="str">
        <f t="shared" si="29"/>
        <v>[Enduring Value adjustment]</v>
      </c>
      <c r="C103" s="154" t="s">
        <v>128</v>
      </c>
      <c r="D103" s="589">
        <f t="shared" si="30"/>
        <v>0</v>
      </c>
      <c r="E103" s="589">
        <f t="shared" si="30"/>
        <v>0</v>
      </c>
      <c r="F103" s="589">
        <f t="shared" si="30"/>
        <v>0</v>
      </c>
      <c r="G103" s="589">
        <f t="shared" si="30"/>
        <v>0</v>
      </c>
      <c r="H103" s="589">
        <f t="shared" si="30"/>
        <v>0</v>
      </c>
      <c r="I103" s="589">
        <f t="shared" si="30"/>
        <v>0</v>
      </c>
      <c r="J103" s="589">
        <f t="shared" si="30"/>
        <v>0</v>
      </c>
      <c r="K103" s="589">
        <f t="shared" si="30"/>
        <v>0</v>
      </c>
      <c r="L103" s="585">
        <f>SUM(D103:INDEX(D103:K103,0,MATCH('RFPR cover'!$C$7,$D$6:$K$6,0)))</f>
        <v>0</v>
      </c>
      <c r="M103" s="586">
        <f t="shared" si="31"/>
        <v>0</v>
      </c>
      <c r="N103" s="63"/>
      <c r="O103"/>
      <c r="P103"/>
      <c r="Q103"/>
      <c r="R103"/>
      <c r="S103"/>
      <c r="T103"/>
    </row>
    <row r="104" spans="1:20">
      <c r="A104" s="268" t="s">
        <v>169</v>
      </c>
      <c r="B104" s="224" t="str">
        <f t="shared" si="29"/>
        <v>[Enduring Value adjustment]</v>
      </c>
      <c r="C104" s="154" t="s">
        <v>128</v>
      </c>
      <c r="D104" s="589">
        <f t="shared" si="30"/>
        <v>0</v>
      </c>
      <c r="E104" s="589">
        <f t="shared" si="30"/>
        <v>0</v>
      </c>
      <c r="F104" s="589">
        <f t="shared" si="30"/>
        <v>0</v>
      </c>
      <c r="G104" s="589">
        <f t="shared" si="30"/>
        <v>0</v>
      </c>
      <c r="H104" s="589">
        <f t="shared" si="30"/>
        <v>0</v>
      </c>
      <c r="I104" s="589">
        <f t="shared" si="30"/>
        <v>0</v>
      </c>
      <c r="J104" s="589">
        <f t="shared" si="30"/>
        <v>0</v>
      </c>
      <c r="K104" s="589">
        <f t="shared" si="30"/>
        <v>0</v>
      </c>
      <c r="L104" s="585">
        <f>SUM(D104:INDEX(D104:K104,0,MATCH('RFPR cover'!$C$7,$D$6:$K$6,0)))</f>
        <v>0</v>
      </c>
      <c r="M104" s="586">
        <f t="shared" si="31"/>
        <v>0</v>
      </c>
      <c r="N104" s="63"/>
      <c r="O104"/>
      <c r="P104"/>
      <c r="Q104"/>
      <c r="R104"/>
      <c r="S104"/>
      <c r="T104"/>
    </row>
    <row r="105" spans="1:20">
      <c r="A105" s="268" t="s">
        <v>170</v>
      </c>
      <c r="B105" s="224" t="str">
        <f t="shared" si="29"/>
        <v>[Enduring Value adjustment]</v>
      </c>
      <c r="C105" s="154" t="s">
        <v>128</v>
      </c>
      <c r="D105" s="589">
        <f t="shared" si="30"/>
        <v>0</v>
      </c>
      <c r="E105" s="589">
        <f t="shared" si="30"/>
        <v>0</v>
      </c>
      <c r="F105" s="589">
        <f t="shared" si="30"/>
        <v>0</v>
      </c>
      <c r="G105" s="589">
        <f t="shared" si="30"/>
        <v>0</v>
      </c>
      <c r="H105" s="589">
        <f t="shared" si="30"/>
        <v>0</v>
      </c>
      <c r="I105" s="589">
        <f t="shared" si="30"/>
        <v>0</v>
      </c>
      <c r="J105" s="589">
        <f t="shared" si="30"/>
        <v>0</v>
      </c>
      <c r="K105" s="589">
        <f t="shared" si="30"/>
        <v>0</v>
      </c>
      <c r="L105" s="589">
        <f>SUM(D105:INDEX(D105:K105,0,MATCH('RFPR cover'!$C$7,$D$6:$K$6,0)))</f>
        <v>0</v>
      </c>
      <c r="M105" s="590">
        <f t="shared" si="31"/>
        <v>0</v>
      </c>
      <c r="N105" s="63"/>
      <c r="O105"/>
      <c r="P105"/>
      <c r="Q105"/>
      <c r="R105"/>
      <c r="S105"/>
      <c r="T105"/>
    </row>
    <row r="106" spans="1:20">
      <c r="A106" s="35"/>
      <c r="B106" s="778" t="s">
        <v>190</v>
      </c>
      <c r="C106" s="154" t="s">
        <v>128</v>
      </c>
      <c r="D106" s="101">
        <f>SUM(D100:D105)</f>
        <v>0</v>
      </c>
      <c r="E106" s="102">
        <f t="shared" ref="E106:K106" si="32">SUM(E100:E105)</f>
        <v>10.113482630405867</v>
      </c>
      <c r="F106" s="102">
        <f t="shared" si="32"/>
        <v>-46.118531401200741</v>
      </c>
      <c r="G106" s="102">
        <f t="shared" si="32"/>
        <v>-7.0782271497850084</v>
      </c>
      <c r="H106" s="102">
        <f t="shared" si="32"/>
        <v>-0.13421380913863876</v>
      </c>
      <c r="I106" s="102">
        <f t="shared" si="32"/>
        <v>15.829397553387791</v>
      </c>
      <c r="J106" s="102">
        <f t="shared" si="32"/>
        <v>18.601069550545457</v>
      </c>
      <c r="K106" s="103">
        <f t="shared" si="32"/>
        <v>18.049963939914022</v>
      </c>
      <c r="L106" s="101">
        <f>SUM(D106:INDEX(D106:K106,0,MATCH('RFPR cover'!$C$7,$D$6:$K$6,0)))</f>
        <v>-43.217489729718515</v>
      </c>
      <c r="M106" s="103">
        <f t="shared" si="31"/>
        <v>9.2629413141287564</v>
      </c>
      <c r="N106" s="63"/>
    </row>
    <row r="107" spans="1:20">
      <c r="A107" s="35"/>
      <c r="B107" s="770"/>
    </row>
    <row r="108" spans="1:20">
      <c r="A108" s="35"/>
      <c r="B108" s="777" t="s">
        <v>198</v>
      </c>
      <c r="C108" s="154" t="s">
        <v>128</v>
      </c>
      <c r="D108" s="94">
        <f t="shared" ref="D108:K108" si="33">D106*D94</f>
        <v>0</v>
      </c>
      <c r="E108" s="95">
        <f t="shared" si="33"/>
        <v>3.0340447891217606</v>
      </c>
      <c r="F108" s="95">
        <f t="shared" si="33"/>
        <v>-13.835559420360225</v>
      </c>
      <c r="G108" s="95">
        <f t="shared" si="33"/>
        <v>-2.1234681449355031</v>
      </c>
      <c r="H108" s="95">
        <f t="shared" si="33"/>
        <v>-4.0264142741591631E-2</v>
      </c>
      <c r="I108" s="95">
        <f t="shared" si="33"/>
        <v>4.748819266016338</v>
      </c>
      <c r="J108" s="95">
        <f t="shared" si="33"/>
        <v>5.580320865163638</v>
      </c>
      <c r="K108" s="95">
        <f t="shared" si="33"/>
        <v>5.4149891819742075</v>
      </c>
      <c r="L108" s="94">
        <f>SUM(D108:INDEX(D108:K108,0,MATCH('RFPR cover'!$C$7,$D$6:$K$6,0)))</f>
        <v>-12.965246918915559</v>
      </c>
      <c r="M108" s="96">
        <f>SUM(D108:K108)</f>
        <v>2.7788823942386252</v>
      </c>
    </row>
    <row r="109" spans="1:20">
      <c r="A109" s="35"/>
      <c r="B109" s="777" t="s">
        <v>309</v>
      </c>
      <c r="C109" s="154" t="s">
        <v>128</v>
      </c>
      <c r="D109" s="91">
        <f t="shared" ref="D109:K109" si="34">D106*(1-D94)</f>
        <v>0</v>
      </c>
      <c r="E109" s="92">
        <f t="shared" si="34"/>
        <v>7.0794378412841068</v>
      </c>
      <c r="F109" s="92">
        <f t="shared" si="34"/>
        <v>-32.282971980840514</v>
      </c>
      <c r="G109" s="92">
        <f t="shared" si="34"/>
        <v>-4.9547590048495058</v>
      </c>
      <c r="H109" s="92">
        <f t="shared" si="34"/>
        <v>-9.3949666397047119E-2</v>
      </c>
      <c r="I109" s="92">
        <f t="shared" si="34"/>
        <v>11.080578287371454</v>
      </c>
      <c r="J109" s="92">
        <f t="shared" si="34"/>
        <v>13.02074868538182</v>
      </c>
      <c r="K109" s="92">
        <f t="shared" si="34"/>
        <v>12.634974757939816</v>
      </c>
      <c r="L109" s="91">
        <f>SUM(D109:INDEX(D109:K109,0,MATCH('RFPR cover'!$C$7,$D$6:$K$6,0)))</f>
        <v>-30.252242810802962</v>
      </c>
      <c r="M109" s="93">
        <f>SUM(D109:K109)</f>
        <v>6.4840589198901259</v>
      </c>
    </row>
    <row r="110" spans="1:20">
      <c r="A110" s="35"/>
      <c r="B110" s="770"/>
    </row>
    <row r="111" spans="1:20">
      <c r="A111" s="35"/>
      <c r="B111" s="778" t="s">
        <v>181</v>
      </c>
    </row>
    <row r="112" spans="1:20">
      <c r="A112" s="35"/>
      <c r="B112" s="770" t="s">
        <v>180</v>
      </c>
      <c r="C112" s="154" t="s">
        <v>128</v>
      </c>
      <c r="D112" s="94">
        <f>D96+D108</f>
        <v>4.1355512809881425</v>
      </c>
      <c r="E112" s="95">
        <f t="shared" ref="E112:K112" si="35">E96+E108</f>
        <v>5.9688206282873715</v>
      </c>
      <c r="F112" s="95">
        <f t="shared" si="35"/>
        <v>-7.790368603196228</v>
      </c>
      <c r="G112" s="95">
        <f t="shared" si="35"/>
        <v>5.389131884579859</v>
      </c>
      <c r="H112" s="95">
        <f t="shared" si="35"/>
        <v>5.5641987860769069</v>
      </c>
      <c r="I112" s="95">
        <f t="shared" si="35"/>
        <v>2.0441515571681803</v>
      </c>
      <c r="J112" s="95">
        <f t="shared" si="35"/>
        <v>-2.9693569957833779</v>
      </c>
      <c r="K112" s="95">
        <f t="shared" si="35"/>
        <v>-1.8890552169959589</v>
      </c>
      <c r="L112" s="94">
        <f>SUM(D112:INDEX(D112:K112,0,MATCH('RFPR cover'!$C$7,$D$6:$K$6,0)))</f>
        <v>13.267333976736051</v>
      </c>
      <c r="M112" s="96">
        <f>SUM(D112:K112)</f>
        <v>10.453073321124894</v>
      </c>
    </row>
    <row r="113" spans="1:20">
      <c r="A113" s="35"/>
      <c r="B113" s="770" t="s">
        <v>280</v>
      </c>
      <c r="C113" s="154" t="s">
        <v>128</v>
      </c>
      <c r="D113" s="518">
        <f>D97+D109</f>
        <v>9.6496196556389968</v>
      </c>
      <c r="E113" s="519">
        <f t="shared" ref="E113:K113" si="36">E97+E109</f>
        <v>13.927248132670531</v>
      </c>
      <c r="F113" s="519">
        <f t="shared" si="36"/>
        <v>-18.177526740791194</v>
      </c>
      <c r="G113" s="519">
        <f t="shared" si="36"/>
        <v>12.574641064019666</v>
      </c>
      <c r="H113" s="519">
        <f t="shared" si="36"/>
        <v>12.983130500846114</v>
      </c>
      <c r="I113" s="519">
        <f t="shared" si="36"/>
        <v>4.7696869667257538</v>
      </c>
      <c r="J113" s="519">
        <f t="shared" si="36"/>
        <v>-6.9284996568278796</v>
      </c>
      <c r="K113" s="519">
        <f t="shared" si="36"/>
        <v>-4.4077955063239038</v>
      </c>
      <c r="L113" s="518">
        <f>SUM(D113:INDEX(D113:K113,0,MATCH('RFPR cover'!$C$7,$D$6:$K$6,0)))</f>
        <v>30.957112612384115</v>
      </c>
      <c r="M113" s="520">
        <f>SUM(D113:K113)</f>
        <v>24.39050441595808</v>
      </c>
    </row>
    <row r="114" spans="1:20">
      <c r="A114" s="35"/>
      <c r="B114" s="778" t="s">
        <v>11</v>
      </c>
      <c r="C114" s="155" t="s">
        <v>128</v>
      </c>
      <c r="D114" s="144">
        <f>SUM(D112:D113)</f>
        <v>13.785170936627139</v>
      </c>
      <c r="E114" s="145">
        <f t="shared" ref="E114:K114" si="37">SUM(E112:E113)</f>
        <v>19.896068760957903</v>
      </c>
      <c r="F114" s="145">
        <f t="shared" si="37"/>
        <v>-25.967895343987422</v>
      </c>
      <c r="G114" s="145">
        <f t="shared" si="37"/>
        <v>17.963772948599527</v>
      </c>
      <c r="H114" s="145">
        <f t="shared" si="37"/>
        <v>18.54732928692302</v>
      </c>
      <c r="I114" s="145">
        <f t="shared" si="37"/>
        <v>6.8138385238939341</v>
      </c>
      <c r="J114" s="145">
        <f t="shared" si="37"/>
        <v>-9.8978566526112566</v>
      </c>
      <c r="K114" s="145">
        <f t="shared" si="37"/>
        <v>-6.2968507233198627</v>
      </c>
      <c r="L114" s="144">
        <f>SUM(D114:INDEX(D114:K114,0,MATCH('RFPR cover'!$C$7,$D$6:$K$6,0)))</f>
        <v>44.224446589120163</v>
      </c>
      <c r="M114" s="146">
        <f>SUM(D114:K114)</f>
        <v>34.843577737082981</v>
      </c>
    </row>
    <row r="115" spans="1:20">
      <c r="A115" s="35"/>
      <c r="B115" s="770"/>
    </row>
    <row r="116" spans="1:20">
      <c r="A116" s="35"/>
      <c r="B116" s="773" t="str">
        <f>B38</f>
        <v>n/a</v>
      </c>
      <c r="C116" s="149"/>
      <c r="D116" s="82"/>
      <c r="E116" s="82"/>
      <c r="F116" s="82"/>
      <c r="G116" s="82"/>
      <c r="H116" s="82"/>
      <c r="I116" s="82"/>
      <c r="J116" s="82"/>
      <c r="K116" s="82"/>
      <c r="L116" s="82"/>
      <c r="M116" s="82"/>
      <c r="N116" s="82"/>
    </row>
    <row r="117" spans="1:20" s="35" customFormat="1">
      <c r="B117" s="771"/>
      <c r="C117" s="137"/>
      <c r="D117" s="318"/>
      <c r="E117" s="318"/>
      <c r="F117" s="318"/>
      <c r="G117" s="318"/>
      <c r="H117" s="318"/>
      <c r="I117" s="318"/>
      <c r="J117" s="318"/>
      <c r="K117" s="318"/>
      <c r="L117" s="318"/>
      <c r="M117" s="318"/>
      <c r="N117" s="318"/>
    </row>
    <row r="118" spans="1:20">
      <c r="A118" s="35"/>
      <c r="B118" s="303" t="s">
        <v>34</v>
      </c>
      <c r="C118" s="154" t="s">
        <v>128</v>
      </c>
      <c r="D118" s="668">
        <f t="shared" ref="D118:K119" si="38">D40*D$86</f>
        <v>0</v>
      </c>
      <c r="E118" s="668">
        <f t="shared" si="38"/>
        <v>0</v>
      </c>
      <c r="F118" s="668">
        <f t="shared" si="38"/>
        <v>0</v>
      </c>
      <c r="G118" s="668">
        <f t="shared" si="38"/>
        <v>0</v>
      </c>
      <c r="H118" s="668">
        <f t="shared" si="38"/>
        <v>0</v>
      </c>
      <c r="I118" s="668">
        <f t="shared" si="38"/>
        <v>0</v>
      </c>
      <c r="J118" s="668">
        <f t="shared" si="38"/>
        <v>0</v>
      </c>
      <c r="K118" s="668">
        <f t="shared" si="38"/>
        <v>0</v>
      </c>
      <c r="L118" s="668">
        <f>SUM(D118:INDEX(D118:K118,0,MATCH('RFPR cover'!$C$7,$D$6:$K$6,0)))</f>
        <v>0</v>
      </c>
      <c r="M118" s="669">
        <f>SUM(D118:K118)</f>
        <v>0</v>
      </c>
      <c r="N118" s="63"/>
      <c r="O118" s="63"/>
    </row>
    <row r="119" spans="1:20" ht="25.2">
      <c r="A119" s="35"/>
      <c r="B119" s="775" t="s">
        <v>197</v>
      </c>
      <c r="C119" s="154" t="s">
        <v>128</v>
      </c>
      <c r="D119" s="668">
        <f t="shared" si="38"/>
        <v>0</v>
      </c>
      <c r="E119" s="668">
        <f t="shared" si="38"/>
        <v>0</v>
      </c>
      <c r="F119" s="668">
        <f t="shared" si="38"/>
        <v>0</v>
      </c>
      <c r="G119" s="668">
        <f t="shared" si="38"/>
        <v>0</v>
      </c>
      <c r="H119" s="668">
        <f t="shared" si="38"/>
        <v>0</v>
      </c>
      <c r="I119" s="668">
        <f t="shared" si="38"/>
        <v>0</v>
      </c>
      <c r="J119" s="668">
        <f t="shared" si="38"/>
        <v>0</v>
      </c>
      <c r="K119" s="668">
        <f t="shared" si="38"/>
        <v>0</v>
      </c>
      <c r="L119" s="670">
        <f>SUM(D119:INDEX(D119:K119,0,MATCH('RFPR cover'!$C$7,$D$6:$K$6,0)))</f>
        <v>0</v>
      </c>
      <c r="M119" s="671">
        <f>SUM(D119:K119)</f>
        <v>0</v>
      </c>
      <c r="N119" s="63"/>
      <c r="O119" s="63"/>
    </row>
    <row r="120" spans="1:20">
      <c r="A120" s="35"/>
      <c r="B120" s="776" t="s">
        <v>195</v>
      </c>
      <c r="C120" s="154" t="s">
        <v>128</v>
      </c>
      <c r="D120" s="101">
        <f>D119-D118</f>
        <v>0</v>
      </c>
      <c r="E120" s="102">
        <f t="shared" ref="E120:M120" si="39">E119-E118</f>
        <v>0</v>
      </c>
      <c r="F120" s="102">
        <f t="shared" si="39"/>
        <v>0</v>
      </c>
      <c r="G120" s="102">
        <f t="shared" si="39"/>
        <v>0</v>
      </c>
      <c r="H120" s="102">
        <f t="shared" si="39"/>
        <v>0</v>
      </c>
      <c r="I120" s="102">
        <f t="shared" si="39"/>
        <v>0</v>
      </c>
      <c r="J120" s="102">
        <f t="shared" si="39"/>
        <v>0</v>
      </c>
      <c r="K120" s="102">
        <f t="shared" si="39"/>
        <v>0</v>
      </c>
      <c r="L120" s="101">
        <f t="shared" si="39"/>
        <v>0</v>
      </c>
      <c r="M120" s="103">
        <f t="shared" si="39"/>
        <v>0</v>
      </c>
      <c r="N120" s="63"/>
      <c r="O120" s="1007"/>
      <c r="P120" s="1007"/>
      <c r="Q120" s="1007"/>
      <c r="R120"/>
      <c r="S120"/>
      <c r="T120"/>
    </row>
    <row r="121" spans="1:20" ht="13.2">
      <c r="A121" s="35"/>
      <c r="B121" s="776"/>
      <c r="C121" s="154"/>
      <c r="D121" s="59"/>
      <c r="E121" s="59"/>
      <c r="F121" s="59"/>
      <c r="G121" s="59"/>
      <c r="H121" s="59"/>
      <c r="I121" s="59"/>
      <c r="J121" s="59"/>
      <c r="K121" s="59"/>
      <c r="L121" s="59"/>
      <c r="M121" s="59"/>
      <c r="O121" s="64"/>
      <c r="P121" s="64"/>
      <c r="Q121" s="64"/>
      <c r="R121"/>
      <c r="S121"/>
      <c r="T121"/>
    </row>
    <row r="122" spans="1:20">
      <c r="A122" s="35"/>
      <c r="B122" s="770" t="s">
        <v>178</v>
      </c>
      <c r="C122" s="135" t="s">
        <v>7</v>
      </c>
      <c r="D122" s="108">
        <f>1-INDEX(Data!$D$73:$D$100,MATCH('RFPR cover'!$C$5,Data!$B$73:$B$100,0),0)</f>
        <v>0.30000000000000004</v>
      </c>
      <c r="E122" s="109">
        <f>1-INDEX(Data!$D$73:$D$100,MATCH('RFPR cover'!$C$5,Data!$B$73:$B$100,0),0)</f>
        <v>0.30000000000000004</v>
      </c>
      <c r="F122" s="109">
        <f>1-INDEX(Data!$D$73:$D$100,MATCH('RFPR cover'!$C$5,Data!$B$73:$B$100,0),0)</f>
        <v>0.30000000000000004</v>
      </c>
      <c r="G122" s="109">
        <f>1-INDEX(Data!$D$73:$D$100,MATCH('RFPR cover'!$C$5,Data!$B$73:$B$100,0),0)</f>
        <v>0.30000000000000004</v>
      </c>
      <c r="H122" s="109">
        <f>1-INDEX(Data!$D$73:$D$100,MATCH('RFPR cover'!$C$5,Data!$B$73:$B$100,0),0)</f>
        <v>0.30000000000000004</v>
      </c>
      <c r="I122" s="109">
        <f>1-INDEX(Data!$D$73:$D$100,MATCH('RFPR cover'!$C$5,Data!$B$73:$B$100,0),0)</f>
        <v>0.30000000000000004</v>
      </c>
      <c r="J122" s="109">
        <f>1-INDEX(Data!$D$73:$D$100,MATCH('RFPR cover'!$C$5,Data!$B$73:$B$100,0),0)</f>
        <v>0.30000000000000004</v>
      </c>
      <c r="K122" s="110">
        <f>1-INDEX(Data!$D$73:$D$100,MATCH('RFPR cover'!$C$5,Data!$B$73:$B$100,0),0)</f>
        <v>0.30000000000000004</v>
      </c>
      <c r="L122" s="62"/>
      <c r="M122" s="62"/>
      <c r="O122"/>
      <c r="P122"/>
      <c r="Q122"/>
      <c r="R122"/>
      <c r="S122"/>
      <c r="T122"/>
    </row>
    <row r="123" spans="1:20">
      <c r="A123" s="35"/>
      <c r="B123" s="770"/>
      <c r="O123"/>
      <c r="P123"/>
      <c r="Q123"/>
      <c r="R123"/>
      <c r="S123"/>
      <c r="T123"/>
    </row>
    <row r="124" spans="1:20">
      <c r="A124" s="35"/>
      <c r="B124" s="777" t="s">
        <v>183</v>
      </c>
      <c r="C124" s="158" t="s">
        <v>128</v>
      </c>
      <c r="D124" s="94">
        <f>D120*D122</f>
        <v>0</v>
      </c>
      <c r="E124" s="95">
        <f t="shared" ref="E124:K124" si="40">E120*E122</f>
        <v>0</v>
      </c>
      <c r="F124" s="95">
        <f t="shared" si="40"/>
        <v>0</v>
      </c>
      <c r="G124" s="95">
        <f t="shared" si="40"/>
        <v>0</v>
      </c>
      <c r="H124" s="95">
        <f t="shared" si="40"/>
        <v>0</v>
      </c>
      <c r="I124" s="95">
        <f t="shared" si="40"/>
        <v>0</v>
      </c>
      <c r="J124" s="95">
        <f t="shared" si="40"/>
        <v>0</v>
      </c>
      <c r="K124" s="95">
        <f t="shared" si="40"/>
        <v>0</v>
      </c>
      <c r="L124" s="94">
        <f>SUM(D124:INDEX(D124:K124,0,MATCH('RFPR cover'!$C$7,$D$6:$K$6,0)))</f>
        <v>0</v>
      </c>
      <c r="M124" s="96">
        <f>SUM(D124:K124)</f>
        <v>0</v>
      </c>
      <c r="O124"/>
      <c r="P124"/>
      <c r="Q124"/>
      <c r="R124"/>
      <c r="S124"/>
      <c r="T124"/>
    </row>
    <row r="125" spans="1:20">
      <c r="A125" s="35"/>
      <c r="B125" s="777" t="s">
        <v>179</v>
      </c>
      <c r="C125" s="158" t="s">
        <v>128</v>
      </c>
      <c r="D125" s="91">
        <f>D120*(1-D122)</f>
        <v>0</v>
      </c>
      <c r="E125" s="92">
        <f t="shared" ref="E125:K125" si="41">E120*(1-E122)</f>
        <v>0</v>
      </c>
      <c r="F125" s="92">
        <f t="shared" si="41"/>
        <v>0</v>
      </c>
      <c r="G125" s="92">
        <f t="shared" si="41"/>
        <v>0</v>
      </c>
      <c r="H125" s="92">
        <f t="shared" si="41"/>
        <v>0</v>
      </c>
      <c r="I125" s="92">
        <f t="shared" si="41"/>
        <v>0</v>
      </c>
      <c r="J125" s="92">
        <f t="shared" si="41"/>
        <v>0</v>
      </c>
      <c r="K125" s="92">
        <f t="shared" si="41"/>
        <v>0</v>
      </c>
      <c r="L125" s="91">
        <f>SUM(D125:INDEX(D125:K125,0,MATCH('RFPR cover'!$C$7,$D$6:$K$6,0)))</f>
        <v>0</v>
      </c>
      <c r="M125" s="93">
        <f>SUM(D125:K125)</f>
        <v>0</v>
      </c>
      <c r="O125"/>
      <c r="P125"/>
      <c r="Q125"/>
      <c r="R125"/>
      <c r="S125"/>
      <c r="T125"/>
    </row>
    <row r="126" spans="1:20">
      <c r="A126" s="35"/>
      <c r="B126" s="770"/>
      <c r="O126"/>
      <c r="P126"/>
      <c r="Q126"/>
      <c r="R126"/>
      <c r="S126"/>
      <c r="T126"/>
    </row>
    <row r="127" spans="1:20">
      <c r="A127" s="35"/>
      <c r="B127" s="778" t="s">
        <v>182</v>
      </c>
      <c r="N127" s="63"/>
      <c r="O127"/>
      <c r="P127"/>
      <c r="Q127"/>
      <c r="R127"/>
      <c r="S127"/>
      <c r="T127"/>
    </row>
    <row r="128" spans="1:20">
      <c r="A128" s="268" t="s">
        <v>151</v>
      </c>
      <c r="B128" s="224" t="str">
        <f t="shared" ref="B128:B133" si="42">B50</f>
        <v>[Enduring Value adjustment]</v>
      </c>
      <c r="C128" s="154" t="s">
        <v>128</v>
      </c>
      <c r="D128" s="581">
        <f t="shared" ref="D128:K133" si="43">D50*D$86</f>
        <v>0</v>
      </c>
      <c r="E128" s="581">
        <f t="shared" si="43"/>
        <v>0</v>
      </c>
      <c r="F128" s="581">
        <f t="shared" si="43"/>
        <v>0</v>
      </c>
      <c r="G128" s="581">
        <f t="shared" si="43"/>
        <v>0</v>
      </c>
      <c r="H128" s="581">
        <f t="shared" si="43"/>
        <v>0</v>
      </c>
      <c r="I128" s="581">
        <f t="shared" si="43"/>
        <v>0</v>
      </c>
      <c r="J128" s="581">
        <f t="shared" si="43"/>
        <v>0</v>
      </c>
      <c r="K128" s="581">
        <f t="shared" si="43"/>
        <v>0</v>
      </c>
      <c r="L128" s="581">
        <f>SUM(D128:INDEX(D128:K128,0,MATCH('RFPR cover'!$C$7,$D$6:$K$6,0)))</f>
        <v>0</v>
      </c>
      <c r="M128" s="582">
        <f t="shared" ref="M128:M134" si="44">SUM(D128:K128)</f>
        <v>0</v>
      </c>
      <c r="N128" s="63"/>
      <c r="O128"/>
      <c r="P128"/>
      <c r="Q128"/>
      <c r="R128"/>
      <c r="S128"/>
      <c r="T128"/>
    </row>
    <row r="129" spans="1:20">
      <c r="A129" s="268" t="s">
        <v>152</v>
      </c>
      <c r="B129" s="224" t="str">
        <f t="shared" si="42"/>
        <v>[Enduring Value adjustment]</v>
      </c>
      <c r="C129" s="154" t="s">
        <v>128</v>
      </c>
      <c r="D129" s="581">
        <f t="shared" si="43"/>
        <v>0</v>
      </c>
      <c r="E129" s="581">
        <f t="shared" si="43"/>
        <v>0</v>
      </c>
      <c r="F129" s="581">
        <f t="shared" si="43"/>
        <v>0</v>
      </c>
      <c r="G129" s="581">
        <f t="shared" si="43"/>
        <v>0</v>
      </c>
      <c r="H129" s="581">
        <f t="shared" si="43"/>
        <v>0</v>
      </c>
      <c r="I129" s="581">
        <f t="shared" si="43"/>
        <v>0</v>
      </c>
      <c r="J129" s="581">
        <f t="shared" si="43"/>
        <v>0</v>
      </c>
      <c r="K129" s="581">
        <f t="shared" si="43"/>
        <v>0</v>
      </c>
      <c r="L129" s="585">
        <f>SUM(D129:INDEX(D129:K129,0,MATCH('RFPR cover'!$C$7,$D$6:$K$6,0)))</f>
        <v>0</v>
      </c>
      <c r="M129" s="586">
        <f t="shared" si="44"/>
        <v>0</v>
      </c>
      <c r="N129" s="63"/>
      <c r="O129"/>
      <c r="P129"/>
      <c r="Q129"/>
      <c r="R129"/>
      <c r="S129"/>
      <c r="T129"/>
    </row>
    <row r="130" spans="1:20">
      <c r="A130" s="268" t="s">
        <v>153</v>
      </c>
      <c r="B130" s="224" t="str">
        <f t="shared" si="42"/>
        <v>[Enduring Value adjustment]</v>
      </c>
      <c r="C130" s="154" t="s">
        <v>128</v>
      </c>
      <c r="D130" s="581">
        <f t="shared" si="43"/>
        <v>0</v>
      </c>
      <c r="E130" s="581">
        <f t="shared" si="43"/>
        <v>0</v>
      </c>
      <c r="F130" s="581">
        <f t="shared" si="43"/>
        <v>0</v>
      </c>
      <c r="G130" s="581">
        <f t="shared" si="43"/>
        <v>0</v>
      </c>
      <c r="H130" s="581">
        <f t="shared" si="43"/>
        <v>0</v>
      </c>
      <c r="I130" s="581">
        <f t="shared" si="43"/>
        <v>0</v>
      </c>
      <c r="J130" s="581">
        <f t="shared" si="43"/>
        <v>0</v>
      </c>
      <c r="K130" s="581">
        <f t="shared" si="43"/>
        <v>0</v>
      </c>
      <c r="L130" s="585">
        <f>SUM(D130:INDEX(D130:K130,0,MATCH('RFPR cover'!$C$7,$D$6:$K$6,0)))</f>
        <v>0</v>
      </c>
      <c r="M130" s="586">
        <f t="shared" si="44"/>
        <v>0</v>
      </c>
      <c r="N130" s="63"/>
      <c r="O130"/>
      <c r="P130"/>
      <c r="Q130"/>
      <c r="R130"/>
      <c r="S130" s="65"/>
      <c r="T130"/>
    </row>
    <row r="131" spans="1:20">
      <c r="A131" s="268" t="s">
        <v>168</v>
      </c>
      <c r="B131" s="224" t="str">
        <f t="shared" si="42"/>
        <v>[Enduring Value adjustment]</v>
      </c>
      <c r="C131" s="154" t="s">
        <v>128</v>
      </c>
      <c r="D131" s="581">
        <f t="shared" si="43"/>
        <v>0</v>
      </c>
      <c r="E131" s="581">
        <f t="shared" si="43"/>
        <v>0</v>
      </c>
      <c r="F131" s="581">
        <f t="shared" si="43"/>
        <v>0</v>
      </c>
      <c r="G131" s="581">
        <f t="shared" si="43"/>
        <v>0</v>
      </c>
      <c r="H131" s="581">
        <f t="shared" si="43"/>
        <v>0</v>
      </c>
      <c r="I131" s="581">
        <f t="shared" si="43"/>
        <v>0</v>
      </c>
      <c r="J131" s="581">
        <f t="shared" si="43"/>
        <v>0</v>
      </c>
      <c r="K131" s="581">
        <f t="shared" si="43"/>
        <v>0</v>
      </c>
      <c r="L131" s="585">
        <f>SUM(D131:INDEX(D131:K131,0,MATCH('RFPR cover'!$C$7,$D$6:$K$6,0)))</f>
        <v>0</v>
      </c>
      <c r="M131" s="586">
        <f t="shared" si="44"/>
        <v>0</v>
      </c>
      <c r="N131" s="63"/>
      <c r="O131"/>
      <c r="P131"/>
      <c r="Q131"/>
      <c r="R131"/>
      <c r="S131"/>
      <c r="T131"/>
    </row>
    <row r="132" spans="1:20">
      <c r="A132" s="268" t="s">
        <v>169</v>
      </c>
      <c r="B132" s="224" t="str">
        <f t="shared" si="42"/>
        <v>[Enduring Value adjustment]</v>
      </c>
      <c r="C132" s="154" t="s">
        <v>128</v>
      </c>
      <c r="D132" s="581">
        <f t="shared" si="43"/>
        <v>0</v>
      </c>
      <c r="E132" s="581">
        <f t="shared" si="43"/>
        <v>0</v>
      </c>
      <c r="F132" s="581">
        <f t="shared" si="43"/>
        <v>0</v>
      </c>
      <c r="G132" s="581">
        <f t="shared" si="43"/>
        <v>0</v>
      </c>
      <c r="H132" s="581">
        <f t="shared" si="43"/>
        <v>0</v>
      </c>
      <c r="I132" s="581">
        <f t="shared" si="43"/>
        <v>0</v>
      </c>
      <c r="J132" s="581">
        <f t="shared" si="43"/>
        <v>0</v>
      </c>
      <c r="K132" s="581">
        <f t="shared" si="43"/>
        <v>0</v>
      </c>
      <c r="L132" s="585">
        <f>SUM(D132:INDEX(D132:K132,0,MATCH('RFPR cover'!$C$7,$D$6:$K$6,0)))</f>
        <v>0</v>
      </c>
      <c r="M132" s="586">
        <f t="shared" si="44"/>
        <v>0</v>
      </c>
      <c r="N132" s="63"/>
      <c r="O132"/>
      <c r="P132"/>
      <c r="Q132"/>
      <c r="R132"/>
      <c r="S132"/>
      <c r="T132"/>
    </row>
    <row r="133" spans="1:20">
      <c r="A133" s="268" t="s">
        <v>170</v>
      </c>
      <c r="B133" s="224" t="str">
        <f t="shared" si="42"/>
        <v>[Enduring Value adjustment]</v>
      </c>
      <c r="C133" s="154" t="s">
        <v>128</v>
      </c>
      <c r="D133" s="581">
        <f t="shared" si="43"/>
        <v>0</v>
      </c>
      <c r="E133" s="581">
        <f t="shared" si="43"/>
        <v>0</v>
      </c>
      <c r="F133" s="581">
        <f t="shared" si="43"/>
        <v>0</v>
      </c>
      <c r="G133" s="581">
        <f t="shared" si="43"/>
        <v>0</v>
      </c>
      <c r="H133" s="581">
        <f t="shared" si="43"/>
        <v>0</v>
      </c>
      <c r="I133" s="581">
        <f t="shared" si="43"/>
        <v>0</v>
      </c>
      <c r="J133" s="581">
        <f t="shared" si="43"/>
        <v>0</v>
      </c>
      <c r="K133" s="581">
        <f t="shared" si="43"/>
        <v>0</v>
      </c>
      <c r="L133" s="589">
        <f>SUM(D133:INDEX(D133:K133,0,MATCH('RFPR cover'!$C$7,$D$6:$K$6,0)))</f>
        <v>0</v>
      </c>
      <c r="M133" s="590">
        <f t="shared" si="44"/>
        <v>0</v>
      </c>
      <c r="N133" s="63"/>
      <c r="O133"/>
      <c r="P133"/>
      <c r="Q133"/>
      <c r="R133"/>
      <c r="S133"/>
      <c r="T133"/>
    </row>
    <row r="134" spans="1:20">
      <c r="A134" s="35"/>
      <c r="B134" s="778" t="s">
        <v>190</v>
      </c>
      <c r="C134" s="154" t="s">
        <v>128</v>
      </c>
      <c r="D134" s="101">
        <f>SUM(D128:D133)</f>
        <v>0</v>
      </c>
      <c r="E134" s="102">
        <f t="shared" ref="E134:K134" si="45">SUM(E128:E133)</f>
        <v>0</v>
      </c>
      <c r="F134" s="102">
        <f t="shared" si="45"/>
        <v>0</v>
      </c>
      <c r="G134" s="102">
        <f t="shared" si="45"/>
        <v>0</v>
      </c>
      <c r="H134" s="102">
        <f t="shared" si="45"/>
        <v>0</v>
      </c>
      <c r="I134" s="102">
        <f t="shared" si="45"/>
        <v>0</v>
      </c>
      <c r="J134" s="102">
        <f t="shared" si="45"/>
        <v>0</v>
      </c>
      <c r="K134" s="102">
        <f t="shared" si="45"/>
        <v>0</v>
      </c>
      <c r="L134" s="101">
        <f>SUM(D134:INDEX(D134:K134,0,MATCH('RFPR cover'!$C$7,$D$6:$K$6,0)))</f>
        <v>0</v>
      </c>
      <c r="M134" s="103">
        <f t="shared" si="44"/>
        <v>0</v>
      </c>
      <c r="N134" s="63"/>
    </row>
    <row r="135" spans="1:20">
      <c r="A135" s="35"/>
      <c r="B135" s="770"/>
    </row>
    <row r="136" spans="1:20">
      <c r="A136" s="35"/>
      <c r="B136" s="777" t="s">
        <v>198</v>
      </c>
      <c r="C136" s="158" t="s">
        <v>128</v>
      </c>
      <c r="D136" s="94">
        <f t="shared" ref="D136:K136" si="46">D134*D122</f>
        <v>0</v>
      </c>
      <c r="E136" s="95">
        <f t="shared" si="46"/>
        <v>0</v>
      </c>
      <c r="F136" s="95">
        <f t="shared" si="46"/>
        <v>0</v>
      </c>
      <c r="G136" s="95">
        <f t="shared" si="46"/>
        <v>0</v>
      </c>
      <c r="H136" s="95">
        <f t="shared" si="46"/>
        <v>0</v>
      </c>
      <c r="I136" s="95">
        <f t="shared" si="46"/>
        <v>0</v>
      </c>
      <c r="J136" s="95">
        <f t="shared" si="46"/>
        <v>0</v>
      </c>
      <c r="K136" s="95">
        <f t="shared" si="46"/>
        <v>0</v>
      </c>
      <c r="L136" s="94">
        <f>SUM(D136:INDEX(D136:K136,0,MATCH('RFPR cover'!$C$7,$D$6:$K$6,0)))</f>
        <v>0</v>
      </c>
      <c r="M136" s="96">
        <f>SUM(D136:K136)</f>
        <v>0</v>
      </c>
    </row>
    <row r="137" spans="1:20">
      <c r="A137" s="35"/>
      <c r="B137" s="777" t="s">
        <v>309</v>
      </c>
      <c r="C137" s="158" t="s">
        <v>128</v>
      </c>
      <c r="D137" s="91">
        <f t="shared" ref="D137:K137" si="47">D134*(1-D122)</f>
        <v>0</v>
      </c>
      <c r="E137" s="92">
        <f t="shared" si="47"/>
        <v>0</v>
      </c>
      <c r="F137" s="92">
        <f t="shared" si="47"/>
        <v>0</v>
      </c>
      <c r="G137" s="92">
        <f t="shared" si="47"/>
        <v>0</v>
      </c>
      <c r="H137" s="92">
        <f t="shared" si="47"/>
        <v>0</v>
      </c>
      <c r="I137" s="92">
        <f t="shared" si="47"/>
        <v>0</v>
      </c>
      <c r="J137" s="92">
        <f t="shared" si="47"/>
        <v>0</v>
      </c>
      <c r="K137" s="92">
        <f t="shared" si="47"/>
        <v>0</v>
      </c>
      <c r="L137" s="91">
        <f>SUM(D137:INDEX(D137:K137,0,MATCH('RFPR cover'!$C$7,$D$6:$K$6,0)))</f>
        <v>0</v>
      </c>
      <c r="M137" s="93">
        <f>SUM(D137:K137)</f>
        <v>0</v>
      </c>
    </row>
    <row r="138" spans="1:20">
      <c r="A138" s="35"/>
      <c r="B138" s="770"/>
    </row>
    <row r="139" spans="1:20">
      <c r="A139" s="35"/>
      <c r="B139" s="778" t="s">
        <v>181</v>
      </c>
    </row>
    <row r="140" spans="1:20">
      <c r="A140" s="35"/>
      <c r="B140" s="770" t="s">
        <v>180</v>
      </c>
      <c r="C140" s="154" t="s">
        <v>128</v>
      </c>
      <c r="D140" s="94">
        <f>D124+D136</f>
        <v>0</v>
      </c>
      <c r="E140" s="95">
        <f t="shared" ref="E140:K140" si="48">E124+E136</f>
        <v>0</v>
      </c>
      <c r="F140" s="95">
        <f t="shared" si="48"/>
        <v>0</v>
      </c>
      <c r="G140" s="95">
        <f t="shared" si="48"/>
        <v>0</v>
      </c>
      <c r="H140" s="95">
        <f t="shared" si="48"/>
        <v>0</v>
      </c>
      <c r="I140" s="95">
        <f t="shared" si="48"/>
        <v>0</v>
      </c>
      <c r="J140" s="95">
        <f t="shared" si="48"/>
        <v>0</v>
      </c>
      <c r="K140" s="95">
        <f t="shared" si="48"/>
        <v>0</v>
      </c>
      <c r="L140" s="94">
        <f>SUM(D140:INDEX(D140:K140,0,MATCH('RFPR cover'!$C$7,$D$6:$K$6,0)))</f>
        <v>0</v>
      </c>
      <c r="M140" s="96">
        <f>SUM(D140:K140)</f>
        <v>0</v>
      </c>
    </row>
    <row r="141" spans="1:20">
      <c r="A141" s="35"/>
      <c r="B141" s="770" t="s">
        <v>280</v>
      </c>
      <c r="C141" s="154" t="s">
        <v>128</v>
      </c>
      <c r="D141" s="97">
        <f>D125+D137</f>
        <v>0</v>
      </c>
      <c r="E141" s="98">
        <f t="shared" ref="E141:K141" si="49">E125+E137</f>
        <v>0</v>
      </c>
      <c r="F141" s="98">
        <f t="shared" si="49"/>
        <v>0</v>
      </c>
      <c r="G141" s="98">
        <f t="shared" si="49"/>
        <v>0</v>
      </c>
      <c r="H141" s="98">
        <f t="shared" si="49"/>
        <v>0</v>
      </c>
      <c r="I141" s="98">
        <f t="shared" si="49"/>
        <v>0</v>
      </c>
      <c r="J141" s="98">
        <f t="shared" si="49"/>
        <v>0</v>
      </c>
      <c r="K141" s="98">
        <f t="shared" si="49"/>
        <v>0</v>
      </c>
      <c r="L141" s="97">
        <f>SUM(D141:INDEX(D141:K141,0,MATCH('RFPR cover'!$C$7,$D$6:$K$6,0)))</f>
        <v>0</v>
      </c>
      <c r="M141" s="99">
        <f>SUM(D141:K141)</f>
        <v>0</v>
      </c>
    </row>
    <row r="142" spans="1:20">
      <c r="A142" s="35"/>
      <c r="B142" s="778" t="s">
        <v>11</v>
      </c>
      <c r="C142" s="155" t="s">
        <v>128</v>
      </c>
      <c r="D142" s="138">
        <f>SUM(D140:D141)</f>
        <v>0</v>
      </c>
      <c r="E142" s="139">
        <f t="shared" ref="E142:K142" si="50">SUM(E140:E141)</f>
        <v>0</v>
      </c>
      <c r="F142" s="139">
        <f t="shared" si="50"/>
        <v>0</v>
      </c>
      <c r="G142" s="139">
        <f t="shared" si="50"/>
        <v>0</v>
      </c>
      <c r="H142" s="139">
        <f t="shared" si="50"/>
        <v>0</v>
      </c>
      <c r="I142" s="139">
        <f t="shared" si="50"/>
        <v>0</v>
      </c>
      <c r="J142" s="139">
        <f t="shared" si="50"/>
        <v>0</v>
      </c>
      <c r="K142" s="139">
        <f t="shared" si="50"/>
        <v>0</v>
      </c>
      <c r="L142" s="138">
        <f>SUM(D142:INDEX(D142:K142,0,MATCH('RFPR cover'!$C$7,$D$6:$K$6,0)))</f>
        <v>0</v>
      </c>
      <c r="M142" s="140">
        <f>SUM(D142:K142)</f>
        <v>0</v>
      </c>
    </row>
    <row r="143" spans="1:20">
      <c r="A143" s="35"/>
      <c r="B143" s="778"/>
      <c r="C143" s="155"/>
      <c r="D143" s="155"/>
      <c r="E143" s="155"/>
      <c r="F143" s="155"/>
      <c r="G143" s="155"/>
      <c r="H143" s="155"/>
      <c r="I143" s="155"/>
      <c r="J143" s="155"/>
      <c r="K143" s="155"/>
      <c r="L143" s="155"/>
      <c r="M143" s="155"/>
    </row>
    <row r="144" spans="1:20">
      <c r="A144" s="35"/>
      <c r="B144" s="773" t="s">
        <v>257</v>
      </c>
      <c r="C144" s="149"/>
      <c r="D144" s="82"/>
      <c r="E144" s="82"/>
      <c r="F144" s="82"/>
      <c r="G144" s="82"/>
      <c r="H144" s="82"/>
      <c r="I144" s="82"/>
      <c r="J144" s="82"/>
      <c r="K144" s="82"/>
      <c r="L144" s="82"/>
      <c r="M144" s="82"/>
      <c r="N144" s="82"/>
    </row>
    <row r="145" spans="1:20">
      <c r="A145" s="35"/>
      <c r="B145" s="770"/>
      <c r="O145"/>
      <c r="P145"/>
      <c r="Q145"/>
      <c r="R145"/>
      <c r="S145"/>
      <c r="T145"/>
    </row>
    <row r="146" spans="1:20">
      <c r="A146" s="35"/>
      <c r="B146" s="778" t="s">
        <v>181</v>
      </c>
    </row>
    <row r="147" spans="1:20">
      <c r="A147" s="35"/>
      <c r="B147" s="770" t="s">
        <v>180</v>
      </c>
      <c r="C147" s="154" t="s">
        <v>128</v>
      </c>
      <c r="D147" s="94">
        <f>D112+D140</f>
        <v>4.1355512809881425</v>
      </c>
      <c r="E147" s="95">
        <f t="shared" ref="E147:K147" si="51">E112+E140</f>
        <v>5.9688206282873715</v>
      </c>
      <c r="F147" s="95">
        <f t="shared" si="51"/>
        <v>-7.790368603196228</v>
      </c>
      <c r="G147" s="95">
        <f t="shared" si="51"/>
        <v>5.389131884579859</v>
      </c>
      <c r="H147" s="95">
        <f t="shared" si="51"/>
        <v>5.5641987860769069</v>
      </c>
      <c r="I147" s="95">
        <f t="shared" si="51"/>
        <v>2.0441515571681803</v>
      </c>
      <c r="J147" s="95">
        <f t="shared" si="51"/>
        <v>-2.9693569957833779</v>
      </c>
      <c r="K147" s="95">
        <f t="shared" si="51"/>
        <v>-1.8890552169959589</v>
      </c>
      <c r="L147" s="94">
        <f>SUM(D147:INDEX(D147:K147,0,MATCH('RFPR cover'!$C$7,$D$6:$K$6,0)))</f>
        <v>13.267333976736051</v>
      </c>
      <c r="M147" s="96">
        <f>SUM(D147:K147)</f>
        <v>10.453073321124894</v>
      </c>
    </row>
    <row r="148" spans="1:20">
      <c r="A148" s="35"/>
      <c r="B148" s="770" t="s">
        <v>280</v>
      </c>
      <c r="C148" s="154" t="s">
        <v>128</v>
      </c>
      <c r="D148" s="97">
        <f t="shared" ref="D148:K148" si="52">D113+D141</f>
        <v>9.6496196556389968</v>
      </c>
      <c r="E148" s="98">
        <f t="shared" si="52"/>
        <v>13.927248132670531</v>
      </c>
      <c r="F148" s="98">
        <f t="shared" si="52"/>
        <v>-18.177526740791194</v>
      </c>
      <c r="G148" s="98">
        <f t="shared" si="52"/>
        <v>12.574641064019666</v>
      </c>
      <c r="H148" s="98">
        <f t="shared" si="52"/>
        <v>12.983130500846114</v>
      </c>
      <c r="I148" s="98">
        <f t="shared" si="52"/>
        <v>4.7696869667257538</v>
      </c>
      <c r="J148" s="98">
        <f t="shared" si="52"/>
        <v>-6.9284996568278796</v>
      </c>
      <c r="K148" s="98">
        <f t="shared" si="52"/>
        <v>-4.4077955063239038</v>
      </c>
      <c r="L148" s="97">
        <f>SUM(D148:INDEX(D148:K148,0,MATCH('RFPR cover'!$C$7,$D$6:$K$6,0)))</f>
        <v>30.957112612384115</v>
      </c>
      <c r="M148" s="99">
        <f>SUM(D148:K148)</f>
        <v>24.39050441595808</v>
      </c>
    </row>
    <row r="149" spans="1:20">
      <c r="A149" s="35"/>
      <c r="B149" s="778" t="s">
        <v>11</v>
      </c>
      <c r="C149" s="155" t="s">
        <v>128</v>
      </c>
      <c r="D149" s="138">
        <f>SUM(D147:D148)</f>
        <v>13.785170936627139</v>
      </c>
      <c r="E149" s="139">
        <f t="shared" ref="E149:K149" si="53">SUM(E147:E148)</f>
        <v>19.896068760957903</v>
      </c>
      <c r="F149" s="139">
        <f t="shared" si="53"/>
        <v>-25.967895343987422</v>
      </c>
      <c r="G149" s="139">
        <f t="shared" si="53"/>
        <v>17.963772948599527</v>
      </c>
      <c r="H149" s="139">
        <f t="shared" si="53"/>
        <v>18.54732928692302</v>
      </c>
      <c r="I149" s="139">
        <f t="shared" si="53"/>
        <v>6.8138385238939341</v>
      </c>
      <c r="J149" s="139">
        <f t="shared" si="53"/>
        <v>-9.8978566526112566</v>
      </c>
      <c r="K149" s="139">
        <f t="shared" si="53"/>
        <v>-6.2968507233198627</v>
      </c>
      <c r="L149" s="138">
        <f>SUM(D149:INDEX(D149:K149,0,MATCH('RFPR cover'!$C$7,$D$6:$K$6,0)))</f>
        <v>44.224446589120163</v>
      </c>
      <c r="M149" s="140">
        <f>SUM(D149:K149)</f>
        <v>34.843577737082981</v>
      </c>
    </row>
    <row r="150" spans="1:20">
      <c r="A150" s="35"/>
      <c r="B150" s="777"/>
      <c r="D150" s="135"/>
      <c r="E150" s="135"/>
      <c r="F150" s="135"/>
      <c r="G150" s="135"/>
      <c r="H150" s="135"/>
      <c r="I150" s="135"/>
      <c r="J150" s="135"/>
      <c r="K150" s="135"/>
    </row>
    <row r="151" spans="1:20">
      <c r="A151" s="35"/>
      <c r="B151" s="770"/>
    </row>
    <row r="152" spans="1:20">
      <c r="A152" s="82"/>
      <c r="B152" s="769"/>
      <c r="C152" s="149"/>
      <c r="D152" s="82"/>
      <c r="E152" s="82"/>
      <c r="F152" s="82"/>
      <c r="G152" s="82"/>
      <c r="H152" s="82"/>
      <c r="I152" s="82"/>
      <c r="J152" s="82"/>
      <c r="K152" s="82"/>
      <c r="L152" s="82"/>
      <c r="M152" s="82"/>
      <c r="N152" s="82"/>
    </row>
    <row r="153" spans="1:20">
      <c r="B153" s="770"/>
    </row>
    <row r="154" spans="1:20">
      <c r="B154" s="770"/>
    </row>
  </sheetData>
  <mergeCells count="4">
    <mergeCell ref="O14:Q14"/>
    <mergeCell ref="O42:Q42"/>
    <mergeCell ref="O92:Q92"/>
    <mergeCell ref="O120:Q120"/>
  </mergeCells>
  <conditionalFormatting sqref="D6:K6">
    <cfRule type="expression" dxfId="56" priority="7">
      <formula>AND(D$5="Actuals",E$5="Forecast")</formula>
    </cfRule>
  </conditionalFormatting>
  <conditionalFormatting sqref="B118:M142">
    <cfRule type="expression" dxfId="55" priority="3">
      <formula>$B$38="n/a"</formula>
    </cfRule>
  </conditionalFormatting>
  <conditionalFormatting sqref="D5:K5">
    <cfRule type="expression" dxfId="54" priority="2">
      <formula>AND(D$5="Actuals",E$5="Forecast")</formula>
    </cfRule>
  </conditionalFormatting>
  <conditionalFormatting sqref="B38:N64">
    <cfRule type="expression" dxfId="5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1.36328125" bestFit="1" customWidth="1"/>
    <col min="3" max="3" width="13.36328125" style="135" customWidth="1"/>
    <col min="4" max="11" width="11.08984375" customWidth="1"/>
    <col min="12" max="12" width="12.90625" customWidth="1"/>
    <col min="13" max="13" width="12.7265625" customWidth="1"/>
    <col min="14" max="14" width="5" customWidth="1"/>
  </cols>
  <sheetData>
    <row r="1" spans="1:14" s="37" customFormat="1" ht="21">
      <c r="A1" s="924" t="s">
        <v>262</v>
      </c>
      <c r="B1" s="925"/>
      <c r="C1" s="152"/>
      <c r="D1" s="130"/>
      <c r="E1" s="130"/>
      <c r="F1" s="130"/>
      <c r="G1" s="130"/>
      <c r="H1" s="130"/>
      <c r="I1" s="126"/>
      <c r="J1" s="126"/>
      <c r="K1" s="126"/>
      <c r="L1" s="126"/>
      <c r="M1" s="126"/>
      <c r="N1" s="127"/>
    </row>
    <row r="2" spans="1:14" s="37" customFormat="1" ht="21">
      <c r="A2" s="926" t="str">
        <f>'RFPR cover'!C5</f>
        <v>WPD-SWALES</v>
      </c>
      <c r="B2" s="927"/>
      <c r="C2" s="153"/>
      <c r="D2" s="36"/>
      <c r="E2" s="36"/>
      <c r="F2" s="36"/>
      <c r="G2" s="36"/>
      <c r="H2" s="36"/>
      <c r="I2" s="27"/>
      <c r="J2" s="27"/>
      <c r="K2" s="27"/>
      <c r="L2" s="27"/>
      <c r="M2" s="27"/>
      <c r="N2" s="122"/>
    </row>
    <row r="3" spans="1:14" s="37" customFormat="1" ht="21">
      <c r="A3" s="928">
        <f>'RFPR cover'!C7</f>
        <v>2020</v>
      </c>
      <c r="B3" s="929"/>
      <c r="C3" s="134"/>
      <c r="D3" s="131"/>
      <c r="E3" s="131"/>
      <c r="F3" s="131"/>
      <c r="G3" s="131"/>
      <c r="H3" s="131"/>
      <c r="I3" s="28"/>
      <c r="J3" s="28"/>
      <c r="K3" s="28"/>
      <c r="L3" s="28"/>
      <c r="M3" s="28"/>
      <c r="N3" s="124"/>
    </row>
    <row r="4" spans="1:14" s="2" customFormat="1" ht="12.75" customHeight="1">
      <c r="B4" s="3"/>
      <c r="C4" s="135"/>
    </row>
    <row r="5" spans="1:14" s="2" customFormat="1" ht="12.75" customHeight="1">
      <c r="B5" s="3"/>
      <c r="C5" s="135"/>
      <c r="D5" s="386" t="str">
        <f>IF(D6&lt;='RFPR cover'!$C$7,"Actuals","Forecast")</f>
        <v>Actuals</v>
      </c>
      <c r="E5" s="387" t="str">
        <f>IF(E6&lt;='RFPR cover'!$C$7,"Actuals","Forecast")</f>
        <v>Actuals</v>
      </c>
      <c r="F5" s="387" t="str">
        <f>IF(F6&lt;='RFPR cover'!$C$7,"Actuals","Forecast")</f>
        <v>Actuals</v>
      </c>
      <c r="G5" s="387" t="str">
        <f>IF(G6&lt;='RFPR cover'!$C$7,"Actuals","Forecast")</f>
        <v>Actuals</v>
      </c>
      <c r="H5" s="387" t="str">
        <f>IF(H6&lt;='RFPR cover'!$C$7,"Actuals","Forecast")</f>
        <v>Actuals</v>
      </c>
      <c r="I5" s="387" t="str">
        <f>IF(I6&lt;='RFPR cover'!$C$7,"Actuals","Forecast")</f>
        <v>Forecast</v>
      </c>
      <c r="J5" s="387" t="str">
        <f>IF(J6&lt;='RFPR cover'!$C$7,"Actuals","Forecast")</f>
        <v>Forecast</v>
      </c>
      <c r="K5" s="388" t="str">
        <f>IF(K6&lt;='RFPR cover'!$C$7,"Actuals","Forecast")</f>
        <v>Forecast</v>
      </c>
    </row>
    <row r="6" spans="1:14" s="2" customFormat="1" ht="29.25" customHeight="1">
      <c r="C6" s="135"/>
      <c r="D6" s="116">
        <f>'RFPR cover'!$C$13</f>
        <v>2016</v>
      </c>
      <c r="E6" s="117">
        <f>D6+1</f>
        <v>2017</v>
      </c>
      <c r="F6" s="117">
        <f t="shared" ref="F6:K6" si="0">E6+1</f>
        <v>2018</v>
      </c>
      <c r="G6" s="117">
        <f t="shared" si="0"/>
        <v>2019</v>
      </c>
      <c r="H6" s="117">
        <f t="shared" si="0"/>
        <v>2020</v>
      </c>
      <c r="I6" s="117">
        <f t="shared" si="0"/>
        <v>2021</v>
      </c>
      <c r="J6" s="117">
        <f t="shared" si="0"/>
        <v>2022</v>
      </c>
      <c r="K6" s="117">
        <f t="shared" si="0"/>
        <v>2023</v>
      </c>
      <c r="L6" s="100" t="str">
        <f>"Cumulative to "&amp;'RFPR cover'!$C$7</f>
        <v>Cumulative to 2020</v>
      </c>
      <c r="M6" s="118" t="s">
        <v>109</v>
      </c>
    </row>
    <row r="7" spans="1:14" s="2" customFormat="1">
      <c r="A7" s="35"/>
      <c r="C7" s="135"/>
    </row>
    <row r="8" spans="1:14" s="2" customFormat="1">
      <c r="A8" s="35"/>
      <c r="B8" s="115" t="s">
        <v>199</v>
      </c>
      <c r="C8" s="149"/>
      <c r="D8" s="81"/>
      <c r="E8" s="81"/>
      <c r="F8" s="81"/>
      <c r="G8" s="81"/>
      <c r="H8" s="81"/>
      <c r="I8" s="81"/>
      <c r="J8" s="81"/>
      <c r="K8" s="81"/>
      <c r="L8" s="81"/>
      <c r="M8" s="81"/>
      <c r="N8" s="81"/>
    </row>
    <row r="9" spans="1:14" s="2" customFormat="1">
      <c r="A9" s="35"/>
      <c r="B9" s="364" t="s">
        <v>390</v>
      </c>
      <c r="C9" s="364"/>
      <c r="D9" s="364"/>
      <c r="E9" s="364"/>
      <c r="F9" s="364"/>
      <c r="G9" s="364"/>
      <c r="H9" s="364"/>
      <c r="I9" s="364"/>
      <c r="J9" s="364"/>
      <c r="K9" s="364"/>
      <c r="L9" s="364"/>
      <c r="M9" s="364"/>
      <c r="N9" s="364"/>
    </row>
    <row r="10" spans="1:14" s="2" customFormat="1">
      <c r="A10" s="35"/>
      <c r="B10" s="12"/>
      <c r="C10" s="135"/>
    </row>
    <row r="11" spans="1:14" s="2" customFormat="1">
      <c r="A11" s="223" t="s">
        <v>151</v>
      </c>
      <c r="B11" s="35" t="str">
        <f>Data!B153</f>
        <v>Broad measure of customer service</v>
      </c>
      <c r="C11" s="154" t="str">
        <f>'RFPR cover'!$C$14</f>
        <v>£m 12/13</v>
      </c>
      <c r="D11" s="591">
        <v>2.592000000000001</v>
      </c>
      <c r="E11" s="592">
        <v>2.4577</v>
      </c>
      <c r="F11" s="592">
        <v>2.7549999999999999</v>
      </c>
      <c r="G11" s="592">
        <v>2.6829999999999998</v>
      </c>
      <c r="H11" s="592">
        <v>2.7174999999999998</v>
      </c>
      <c r="I11" s="592">
        <v>2.7174999999999998</v>
      </c>
      <c r="J11" s="592">
        <v>2.7174999999999998</v>
      </c>
      <c r="K11" s="592">
        <v>2.7174999999999998</v>
      </c>
      <c r="L11" s="668">
        <f>SUM(D11:INDEX(D11:K11,0,MATCH('RFPR cover'!$C$7,$D$6:$K$6,0)))</f>
        <v>13.2052</v>
      </c>
      <c r="M11" s="669">
        <f t="shared" ref="M11:M17" si="1">SUM(D11:K11)</f>
        <v>21.357700000000001</v>
      </c>
    </row>
    <row r="12" spans="1:14" s="2" customFormat="1">
      <c r="A12" s="223" t="s">
        <v>152</v>
      </c>
      <c r="B12" s="35" t="str">
        <f>Data!B154</f>
        <v>Interruptions-related quality of service</v>
      </c>
      <c r="C12" s="154" t="str">
        <f>'RFPR cover'!$C$14</f>
        <v>£m 12/13</v>
      </c>
      <c r="D12" s="593">
        <v>4.3155413062815349</v>
      </c>
      <c r="E12" s="594">
        <v>4.6832621226325175</v>
      </c>
      <c r="F12" s="594">
        <v>2.5046019026671491</v>
      </c>
      <c r="G12" s="594">
        <v>4.8500493827160494</v>
      </c>
      <c r="H12" s="594">
        <v>4.6390987654320996</v>
      </c>
      <c r="I12" s="594">
        <v>3.5729786383122848</v>
      </c>
      <c r="J12" s="594">
        <v>3.4926082679419146</v>
      </c>
      <c r="K12" s="594">
        <v>3.4269292555962356</v>
      </c>
      <c r="L12" s="672">
        <f>SUM(D12:INDEX(D12:K12,0,MATCH('RFPR cover'!$C$7,$D$6:$K$6,0)))</f>
        <v>20.992553479729349</v>
      </c>
      <c r="M12" s="673">
        <f t="shared" si="1"/>
        <v>31.485069641579784</v>
      </c>
    </row>
    <row r="13" spans="1:14" s="2" customFormat="1">
      <c r="A13" s="223" t="s">
        <v>153</v>
      </c>
      <c r="B13" s="35" t="str">
        <f>Data!B155</f>
        <v>Incentive on connections engagement</v>
      </c>
      <c r="C13" s="154" t="str">
        <f>'RFPR cover'!$C$14</f>
        <v>£m 12/13</v>
      </c>
      <c r="D13" s="593">
        <v>0</v>
      </c>
      <c r="E13" s="594">
        <v>0</v>
      </c>
      <c r="F13" s="594">
        <v>0</v>
      </c>
      <c r="G13" s="594">
        <v>0</v>
      </c>
      <c r="H13" s="594">
        <v>0</v>
      </c>
      <c r="I13" s="594">
        <v>0</v>
      </c>
      <c r="J13" s="594">
        <v>0</v>
      </c>
      <c r="K13" s="594">
        <v>0</v>
      </c>
      <c r="L13" s="672">
        <f>SUM(D13:INDEX(D13:K13,0,MATCH('RFPR cover'!$C$7,$D$6:$K$6,0)))</f>
        <v>0</v>
      </c>
      <c r="M13" s="673">
        <f t="shared" si="1"/>
        <v>0</v>
      </c>
    </row>
    <row r="14" spans="1:14" s="2" customFormat="1">
      <c r="A14" s="223" t="s">
        <v>168</v>
      </c>
      <c r="B14" s="35" t="str">
        <f>Data!B156</f>
        <v>Time to Connect Incentive</v>
      </c>
      <c r="C14" s="154" t="str">
        <f>'RFPR cover'!$C$14</f>
        <v>£m 12/13</v>
      </c>
      <c r="D14" s="593">
        <v>0.45710000000000017</v>
      </c>
      <c r="E14" s="594">
        <v>0.66798362121582</v>
      </c>
      <c r="F14" s="594">
        <v>0.74190000000000011</v>
      </c>
      <c r="G14" s="594">
        <v>0.78600000000000014</v>
      </c>
      <c r="H14" s="594">
        <v>0.8</v>
      </c>
      <c r="I14" s="594">
        <v>0.78908988921279921</v>
      </c>
      <c r="J14" s="594">
        <v>0.78908988921279921</v>
      </c>
      <c r="K14" s="594">
        <v>0.78908988921279921</v>
      </c>
      <c r="L14" s="672">
        <f>SUM(D14:INDEX(D14:K14,0,MATCH('RFPR cover'!$C$7,$D$6:$K$6,0)))</f>
        <v>3.4529836212158207</v>
      </c>
      <c r="M14" s="673">
        <f t="shared" si="1"/>
        <v>5.820253288854218</v>
      </c>
    </row>
    <row r="15" spans="1:14" s="2" customFormat="1">
      <c r="A15" s="223" t="s">
        <v>169</v>
      </c>
      <c r="B15" s="35" t="str">
        <f>Data!B157</f>
        <v>Losses discretionary reward scheme</v>
      </c>
      <c r="C15" s="154" t="str">
        <f>'RFPR cover'!$C$14</f>
        <v>£m 12/13</v>
      </c>
      <c r="D15" s="593">
        <v>0</v>
      </c>
      <c r="E15" s="594">
        <v>0.04</v>
      </c>
      <c r="F15" s="594">
        <v>0</v>
      </c>
      <c r="G15" s="594">
        <v>0</v>
      </c>
      <c r="H15" s="594">
        <v>0</v>
      </c>
      <c r="I15" s="594">
        <v>0</v>
      </c>
      <c r="J15" s="594">
        <v>0</v>
      </c>
      <c r="K15" s="594">
        <v>0</v>
      </c>
      <c r="L15" s="672">
        <f>SUM(D15:INDEX(D15:K15,0,MATCH('RFPR cover'!$C$7,$D$6:$K$6,0)))</f>
        <v>0.04</v>
      </c>
      <c r="M15" s="673">
        <f t="shared" si="1"/>
        <v>0.04</v>
      </c>
    </row>
    <row r="16" spans="1:14" s="2" customFormat="1">
      <c r="A16" s="223" t="s">
        <v>170</v>
      </c>
      <c r="B16" s="35" t="str">
        <f>Data!B158</f>
        <v/>
      </c>
      <c r="C16" s="154" t="str">
        <f>'RFPR cover'!$C$14</f>
        <v>£m 12/13</v>
      </c>
      <c r="D16" s="593"/>
      <c r="E16" s="594"/>
      <c r="F16" s="594"/>
      <c r="G16" s="594"/>
      <c r="H16" s="594"/>
      <c r="I16" s="594"/>
      <c r="J16" s="594"/>
      <c r="K16" s="594"/>
      <c r="L16" s="672">
        <f>SUM(D16:INDEX(D16:K16,0,MATCH('RFPR cover'!$C$7,$D$6:$K$6,0)))</f>
        <v>0</v>
      </c>
      <c r="M16" s="673">
        <f t="shared" si="1"/>
        <v>0</v>
      </c>
    </row>
    <row r="17" spans="1:16" s="2" customFormat="1">
      <c r="A17" s="223" t="s">
        <v>478</v>
      </c>
      <c r="B17" s="35" t="str">
        <f>Data!B159</f>
        <v/>
      </c>
      <c r="C17" s="154" t="str">
        <f>'RFPR cover'!$C$14</f>
        <v>£m 12/13</v>
      </c>
      <c r="D17" s="844"/>
      <c r="E17" s="845"/>
      <c r="F17" s="845"/>
      <c r="G17" s="845"/>
      <c r="H17" s="845"/>
      <c r="I17" s="845"/>
      <c r="J17" s="845"/>
      <c r="K17" s="846"/>
      <c r="L17" s="672">
        <f>SUM(D17:INDEX(D17:K17,0,MATCH('RFPR cover'!$C$7,$D$6:$K$6,0)))</f>
        <v>0</v>
      </c>
      <c r="M17" s="673">
        <f t="shared" si="1"/>
        <v>0</v>
      </c>
    </row>
    <row r="18" spans="1:16" s="2" customFormat="1">
      <c r="A18" s="35"/>
      <c r="B18" s="12" t="s">
        <v>203</v>
      </c>
      <c r="C18" s="155" t="str">
        <f>'RFPR cover'!$C$14</f>
        <v>£m 12/13</v>
      </c>
      <c r="D18" s="607">
        <f>SUM(D11:D17)</f>
        <v>7.3646413062815359</v>
      </c>
      <c r="E18" s="607">
        <f t="shared" ref="E18:K18" si="2">SUM(E11:E17)</f>
        <v>7.8489457438483372</v>
      </c>
      <c r="F18" s="607">
        <f t="shared" si="2"/>
        <v>6.0015019026671492</v>
      </c>
      <c r="G18" s="607">
        <f t="shared" si="2"/>
        <v>8.3190493827160488</v>
      </c>
      <c r="H18" s="607">
        <f t="shared" si="2"/>
        <v>8.1565987654321006</v>
      </c>
      <c r="I18" s="607">
        <f t="shared" si="2"/>
        <v>7.0795685275250841</v>
      </c>
      <c r="J18" s="607">
        <f t="shared" si="2"/>
        <v>6.9991981571547131</v>
      </c>
      <c r="K18" s="607">
        <f t="shared" si="2"/>
        <v>6.9335191448090345</v>
      </c>
      <c r="L18" s="607">
        <f>SUM(L11:L17)</f>
        <v>37.690737100945171</v>
      </c>
      <c r="M18" s="607">
        <f>SUM(M11:M17)</f>
        <v>58.703022930434003</v>
      </c>
    </row>
    <row r="19" spans="1:16" s="2" customFormat="1">
      <c r="A19" s="35"/>
      <c r="B19" s="12"/>
      <c r="C19" s="155"/>
      <c r="D19" s="155"/>
      <c r="E19" s="155"/>
      <c r="F19" s="155"/>
      <c r="G19" s="155"/>
      <c r="H19" s="155"/>
      <c r="I19" s="155"/>
      <c r="J19" s="155"/>
      <c r="K19" s="155"/>
      <c r="L19" s="155"/>
      <c r="M19" s="155"/>
    </row>
    <row r="20" spans="1:16" s="2" customFormat="1">
      <c r="A20" s="35"/>
      <c r="B20" s="12" t="s">
        <v>372</v>
      </c>
      <c r="C20" s="155"/>
      <c r="D20" s="155"/>
      <c r="E20" s="155"/>
      <c r="F20" s="155"/>
      <c r="G20" s="155"/>
      <c r="H20" s="155"/>
      <c r="I20" s="155"/>
      <c r="J20" s="155"/>
      <c r="K20" s="155"/>
      <c r="L20" s="155"/>
      <c r="M20" s="155"/>
    </row>
    <row r="21" spans="1:16" s="2" customFormat="1">
      <c r="A21" s="268" t="str">
        <f>A11</f>
        <v>a</v>
      </c>
      <c r="B21" s="1008" t="s">
        <v>623</v>
      </c>
      <c r="C21" s="1008"/>
      <c r="D21" s="1008"/>
      <c r="E21" s="1008"/>
      <c r="F21" s="1008"/>
      <c r="G21" s="1008"/>
      <c r="H21" s="1008"/>
      <c r="I21" s="1008"/>
      <c r="J21" s="1008"/>
      <c r="K21" s="1008"/>
      <c r="L21" s="1008"/>
      <c r="M21" s="1008"/>
    </row>
    <row r="22" spans="1:16" s="2" customFormat="1">
      <c r="A22" s="268" t="str">
        <f>A12</f>
        <v>b</v>
      </c>
      <c r="B22" s="1008"/>
      <c r="C22" s="1008"/>
      <c r="D22" s="1008"/>
      <c r="E22" s="1008"/>
      <c r="F22" s="1008"/>
      <c r="G22" s="1008"/>
      <c r="H22" s="1008"/>
      <c r="I22" s="1008"/>
      <c r="J22" s="1008"/>
      <c r="K22" s="1008"/>
      <c r="L22" s="1008"/>
      <c r="M22" s="1008"/>
    </row>
    <row r="23" spans="1:16" s="2" customFormat="1">
      <c r="A23" s="268" t="str">
        <f>A13</f>
        <v>c</v>
      </c>
      <c r="B23" s="1008"/>
      <c r="C23" s="1008"/>
      <c r="D23" s="1008"/>
      <c r="E23" s="1008"/>
      <c r="F23" s="1008"/>
      <c r="G23" s="1008"/>
      <c r="H23" s="1008"/>
      <c r="I23" s="1008"/>
      <c r="J23" s="1008"/>
      <c r="K23" s="1008"/>
      <c r="L23" s="1008"/>
      <c r="M23" s="1008"/>
    </row>
    <row r="24" spans="1:16" s="2" customFormat="1">
      <c r="A24" s="268" t="str">
        <f>A14</f>
        <v>d</v>
      </c>
      <c r="B24" s="1008"/>
      <c r="C24" s="1008"/>
      <c r="D24" s="1008"/>
      <c r="E24" s="1008"/>
      <c r="F24" s="1008"/>
      <c r="G24" s="1008"/>
      <c r="H24" s="1008"/>
      <c r="I24" s="1008"/>
      <c r="J24" s="1008"/>
      <c r="K24" s="1008"/>
      <c r="L24" s="1008"/>
      <c r="M24" s="1008"/>
    </row>
    <row r="25" spans="1:16" s="2" customFormat="1">
      <c r="A25" s="268" t="str">
        <f>A15</f>
        <v>e</v>
      </c>
      <c r="B25" s="1008"/>
      <c r="C25" s="1008"/>
      <c r="D25" s="1008"/>
      <c r="E25" s="1008"/>
      <c r="F25" s="1008"/>
      <c r="G25" s="1008"/>
      <c r="H25" s="1008"/>
      <c r="I25" s="1008"/>
      <c r="J25" s="1008"/>
      <c r="K25" s="1008"/>
      <c r="L25" s="1008"/>
      <c r="M25" s="1008"/>
    </row>
    <row r="26" spans="1:16" s="2" customFormat="1">
      <c r="A26" s="268" t="s">
        <v>170</v>
      </c>
      <c r="B26" s="939"/>
      <c r="C26" s="939"/>
      <c r="D26" s="939"/>
      <c r="E26" s="939"/>
      <c r="F26" s="939"/>
      <c r="G26" s="939"/>
      <c r="H26" s="939"/>
      <c r="I26" s="939"/>
      <c r="J26" s="939"/>
      <c r="K26" s="939"/>
      <c r="L26" s="939"/>
      <c r="M26" s="939"/>
    </row>
    <row r="27" spans="1:16" s="2" customFormat="1">
      <c r="A27" s="268" t="s">
        <v>478</v>
      </c>
      <c r="B27" s="939"/>
      <c r="C27" s="939"/>
      <c r="D27" s="939"/>
      <c r="E27" s="939"/>
      <c r="F27" s="939"/>
      <c r="G27" s="939"/>
      <c r="H27" s="939"/>
      <c r="I27" s="939"/>
      <c r="J27" s="939"/>
      <c r="K27" s="939"/>
      <c r="L27" s="939"/>
      <c r="M27" s="939"/>
    </row>
    <row r="28" spans="1:16" s="530" customFormat="1">
      <c r="A28" s="38"/>
      <c r="B28" s="534"/>
      <c r="C28" s="534"/>
      <c r="D28" s="534"/>
      <c r="E28" s="534"/>
      <c r="F28" s="534"/>
      <c r="G28" s="534"/>
      <c r="H28" s="534"/>
      <c r="I28" s="534"/>
      <c r="J28" s="534"/>
      <c r="K28" s="534"/>
      <c r="L28" s="534"/>
      <c r="M28" s="534"/>
    </row>
    <row r="29" spans="1:16" s="2" customFormat="1">
      <c r="B29" s="12"/>
      <c r="C29" s="135"/>
      <c r="D29" s="52"/>
      <c r="E29" s="52"/>
      <c r="F29" s="52"/>
      <c r="G29" s="52"/>
      <c r="H29" s="52"/>
      <c r="I29" s="52"/>
      <c r="J29" s="52"/>
      <c r="K29" s="52"/>
    </row>
    <row r="30" spans="1:16" s="2" customFormat="1">
      <c r="A30" s="35"/>
      <c r="B30" s="115" t="s">
        <v>200</v>
      </c>
      <c r="C30" s="149"/>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4" t="s">
        <v>211</v>
      </c>
      <c r="C32" s="289"/>
      <c r="D32" s="291"/>
      <c r="E32" s="291"/>
      <c r="F32" s="291"/>
      <c r="G32" s="291"/>
      <c r="H32" s="291"/>
      <c r="I32" s="291"/>
      <c r="J32" s="291"/>
      <c r="K32" s="291"/>
      <c r="L32" s="291"/>
      <c r="M32" s="291"/>
      <c r="N32" s="291"/>
    </row>
    <row r="33" spans="1:14" s="2" customFormat="1">
      <c r="A33" s="35"/>
      <c r="B33" s="365" t="s">
        <v>241</v>
      </c>
      <c r="C33" s="289"/>
      <c r="D33" s="291"/>
      <c r="E33" s="291"/>
      <c r="F33" s="291"/>
      <c r="G33" s="291"/>
      <c r="H33" s="291"/>
      <c r="I33" s="291"/>
      <c r="J33" s="291"/>
      <c r="K33" s="291"/>
      <c r="L33" s="291"/>
      <c r="M33" s="291"/>
      <c r="N33" s="291"/>
    </row>
    <row r="34" spans="1:14" s="2" customFormat="1">
      <c r="A34" s="35"/>
      <c r="B34" s="365" t="s">
        <v>479</v>
      </c>
      <c r="C34" s="289"/>
      <c r="D34" s="291"/>
      <c r="E34" s="291"/>
      <c r="F34" s="291"/>
      <c r="G34" s="291"/>
      <c r="H34" s="291"/>
      <c r="I34" s="291"/>
      <c r="J34" s="291"/>
      <c r="K34" s="291"/>
      <c r="L34" s="291"/>
      <c r="M34" s="291"/>
      <c r="N34" s="291"/>
    </row>
    <row r="35" spans="1:14" s="2" customFormat="1">
      <c r="A35" s="35"/>
      <c r="B35" s="365" t="s">
        <v>209</v>
      </c>
      <c r="C35" s="289"/>
      <c r="D35" s="291"/>
      <c r="E35" s="291"/>
      <c r="F35" s="291"/>
      <c r="G35" s="291"/>
      <c r="H35" s="291"/>
      <c r="I35" s="291"/>
      <c r="J35" s="291"/>
      <c r="K35" s="291"/>
      <c r="L35" s="291"/>
      <c r="M35" s="291"/>
      <c r="N35" s="291"/>
    </row>
    <row r="36" spans="1:14" s="2" customFormat="1">
      <c r="A36" s="35"/>
      <c r="B36" s="365" t="s">
        <v>202</v>
      </c>
      <c r="C36" s="289"/>
      <c r="D36" s="291"/>
      <c r="E36" s="291"/>
      <c r="F36" s="291"/>
      <c r="G36" s="291"/>
      <c r="H36" s="291"/>
      <c r="I36" s="291"/>
      <c r="J36" s="291"/>
      <c r="K36" s="291"/>
      <c r="L36" s="291"/>
      <c r="M36" s="291"/>
      <c r="N36" s="291"/>
    </row>
    <row r="37" spans="1:14" s="2" customFormat="1">
      <c r="A37" s="35"/>
      <c r="B37" s="365" t="s">
        <v>208</v>
      </c>
      <c r="C37" s="289"/>
      <c r="D37" s="291"/>
      <c r="E37" s="291"/>
      <c r="F37" s="291"/>
      <c r="G37" s="291"/>
      <c r="H37" s="291"/>
      <c r="I37" s="291"/>
      <c r="J37" s="291"/>
      <c r="K37" s="291"/>
      <c r="L37" s="291"/>
      <c r="M37" s="291"/>
      <c r="N37" s="291"/>
    </row>
    <row r="38" spans="1:14" s="2" customFormat="1">
      <c r="B38" s="12"/>
      <c r="C38" s="135"/>
    </row>
    <row r="39" spans="1:14" s="2" customFormat="1">
      <c r="A39" s="159" t="str">
        <f t="shared" ref="A39:A45" si="3">A11</f>
        <v>a</v>
      </c>
      <c r="B39" s="35" t="str">
        <f>$B$11&amp;""</f>
        <v>Broad measure of customer service</v>
      </c>
      <c r="C39" s="154" t="str">
        <f>'RFPR cover'!$C$14</f>
        <v>£m 12/13</v>
      </c>
      <c r="D39" s="668">
        <f>D51</f>
        <v>2.0995200000000009</v>
      </c>
      <c r="E39" s="668">
        <f t="shared" ref="E39:K39" si="4">E51</f>
        <v>1.9907370000000002</v>
      </c>
      <c r="F39" s="668">
        <f t="shared" si="4"/>
        <v>2.2315499999999999</v>
      </c>
      <c r="G39" s="668">
        <f t="shared" si="4"/>
        <v>2.1732300000000002</v>
      </c>
      <c r="H39" s="668">
        <f t="shared" si="4"/>
        <v>2.2011750000000001</v>
      </c>
      <c r="I39" s="668">
        <f t="shared" si="4"/>
        <v>2.2011750000000001</v>
      </c>
      <c r="J39" s="668">
        <f t="shared" si="4"/>
        <v>2.2011750000000001</v>
      </c>
      <c r="K39" s="668">
        <f t="shared" si="4"/>
        <v>2.2011750000000001</v>
      </c>
      <c r="L39" s="668">
        <f>SUM(D39:INDEX(D39:K39,0,MATCH('RFPR cover'!$C$7,$D$6:$K$6,0)))</f>
        <v>10.696212000000003</v>
      </c>
      <c r="M39" s="669">
        <f t="shared" ref="M39:M45" si="5">SUM(D39:K39)</f>
        <v>17.299737</v>
      </c>
    </row>
    <row r="40" spans="1:14" s="2" customFormat="1">
      <c r="A40" s="159" t="str">
        <f t="shared" si="3"/>
        <v>b</v>
      </c>
      <c r="B40" s="35" t="str">
        <f>$B$12&amp;""</f>
        <v>Interruptions-related quality of service</v>
      </c>
      <c r="C40" s="154" t="str">
        <f>'RFPR cover'!$C$14</f>
        <v>£m 12/13</v>
      </c>
      <c r="D40" s="668">
        <f>D55</f>
        <v>3.4955884580880436</v>
      </c>
      <c r="E40" s="668">
        <f t="shared" ref="E40:K40" si="6">E55</f>
        <v>3.7934423193323394</v>
      </c>
      <c r="F40" s="668">
        <f t="shared" si="6"/>
        <v>2.0287275411603911</v>
      </c>
      <c r="G40" s="668">
        <f t="shared" si="6"/>
        <v>3.9285400000000004</v>
      </c>
      <c r="H40" s="668">
        <f t="shared" si="6"/>
        <v>3.757670000000001</v>
      </c>
      <c r="I40" s="668">
        <f t="shared" si="6"/>
        <v>2.8941126970329507</v>
      </c>
      <c r="J40" s="668">
        <f t="shared" si="6"/>
        <v>2.829012697032951</v>
      </c>
      <c r="K40" s="668">
        <f t="shared" si="6"/>
        <v>2.7758126970329511</v>
      </c>
      <c r="L40" s="672">
        <f>SUM(D40:INDEX(D40:K40,0,MATCH('RFPR cover'!$C$7,$D$6:$K$6,0)))</f>
        <v>17.003968318580775</v>
      </c>
      <c r="M40" s="673">
        <f t="shared" si="5"/>
        <v>25.502906409679628</v>
      </c>
    </row>
    <row r="41" spans="1:14" s="2" customFormat="1">
      <c r="A41" s="159" t="str">
        <f t="shared" si="3"/>
        <v>c</v>
      </c>
      <c r="B41" s="35" t="str">
        <f>$B$13&amp;""</f>
        <v>Incentive on connections engagement</v>
      </c>
      <c r="C41" s="154" t="str">
        <f>'RFPR cover'!$C$14</f>
        <v>£m 12/13</v>
      </c>
      <c r="D41" s="668">
        <f>D59</f>
        <v>0</v>
      </c>
      <c r="E41" s="668">
        <f t="shared" ref="E41:K41" si="7">E59</f>
        <v>0</v>
      </c>
      <c r="F41" s="668">
        <f t="shared" si="7"/>
        <v>0</v>
      </c>
      <c r="G41" s="668">
        <f t="shared" si="7"/>
        <v>0</v>
      </c>
      <c r="H41" s="668">
        <f t="shared" si="7"/>
        <v>0</v>
      </c>
      <c r="I41" s="668">
        <f t="shared" si="7"/>
        <v>0</v>
      </c>
      <c r="J41" s="668">
        <f t="shared" si="7"/>
        <v>0</v>
      </c>
      <c r="K41" s="668">
        <f t="shared" si="7"/>
        <v>0</v>
      </c>
      <c r="L41" s="672">
        <f>SUM(D41:INDEX(D41:K41,0,MATCH('RFPR cover'!$C$7,$D$6:$K$6,0)))</f>
        <v>0</v>
      </c>
      <c r="M41" s="673">
        <f t="shared" si="5"/>
        <v>0</v>
      </c>
    </row>
    <row r="42" spans="1:14" s="2" customFormat="1">
      <c r="A42" s="159" t="str">
        <f t="shared" si="3"/>
        <v>d</v>
      </c>
      <c r="B42" s="35" t="str">
        <f>$B$14&amp;""</f>
        <v>Time to Connect Incentive</v>
      </c>
      <c r="C42" s="154" t="str">
        <f>'RFPR cover'!$C$14</f>
        <v>£m 12/13</v>
      </c>
      <c r="D42" s="668">
        <f>D63</f>
        <v>0.37025100000000016</v>
      </c>
      <c r="E42" s="668">
        <f t="shared" ref="E42:K42" si="8">E63</f>
        <v>0.54106673318481424</v>
      </c>
      <c r="F42" s="668">
        <f t="shared" si="8"/>
        <v>0.60093900000000011</v>
      </c>
      <c r="G42" s="668">
        <f t="shared" si="8"/>
        <v>0.63666000000000011</v>
      </c>
      <c r="H42" s="668">
        <f t="shared" si="8"/>
        <v>0.64800000000000013</v>
      </c>
      <c r="I42" s="668">
        <f t="shared" si="8"/>
        <v>0.63916281026236743</v>
      </c>
      <c r="J42" s="668">
        <f t="shared" si="8"/>
        <v>0.63916281026236743</v>
      </c>
      <c r="K42" s="668">
        <f t="shared" si="8"/>
        <v>0.63916281026236743</v>
      </c>
      <c r="L42" s="672">
        <f>SUM(D42:INDEX(D42:K42,0,MATCH('RFPR cover'!$C$7,$D$6:$K$6,0)))</f>
        <v>2.7969167331848146</v>
      </c>
      <c r="M42" s="673">
        <f t="shared" si="5"/>
        <v>4.7144051639719162</v>
      </c>
    </row>
    <row r="43" spans="1:14" s="2" customFormat="1">
      <c r="A43" s="159" t="str">
        <f t="shared" si="3"/>
        <v>e</v>
      </c>
      <c r="B43" s="35" t="str">
        <f>$B$15&amp;""</f>
        <v>Losses discretionary reward scheme</v>
      </c>
      <c r="C43" s="154" t="str">
        <f>'RFPR cover'!$C$14</f>
        <v>£m 12/13</v>
      </c>
      <c r="D43" s="668">
        <f>D67</f>
        <v>0</v>
      </c>
      <c r="E43" s="668">
        <f t="shared" ref="E43:K43" si="9">E67</f>
        <v>3.2400000000000005E-2</v>
      </c>
      <c r="F43" s="668">
        <f t="shared" si="9"/>
        <v>0</v>
      </c>
      <c r="G43" s="668">
        <f t="shared" si="9"/>
        <v>0</v>
      </c>
      <c r="H43" s="668">
        <f t="shared" si="9"/>
        <v>0</v>
      </c>
      <c r="I43" s="668">
        <f t="shared" si="9"/>
        <v>0</v>
      </c>
      <c r="J43" s="668">
        <f t="shared" si="9"/>
        <v>0</v>
      </c>
      <c r="K43" s="668">
        <f t="shared" si="9"/>
        <v>0</v>
      </c>
      <c r="L43" s="672">
        <f>SUM(D43:INDEX(D43:K43,0,MATCH('RFPR cover'!$C$7,$D$6:$K$6,0)))</f>
        <v>3.2400000000000005E-2</v>
      </c>
      <c r="M43" s="673">
        <f t="shared" si="5"/>
        <v>3.2400000000000005E-2</v>
      </c>
    </row>
    <row r="44" spans="1:14" s="2" customFormat="1">
      <c r="A44" s="159" t="str">
        <f t="shared" si="3"/>
        <v>f</v>
      </c>
      <c r="B44" s="35" t="str">
        <f>$B$16&amp;""</f>
        <v/>
      </c>
      <c r="C44" s="154" t="str">
        <f>'RFPR cover'!$C$14</f>
        <v>£m 12/13</v>
      </c>
      <c r="D44" s="668">
        <f>D71</f>
        <v>0</v>
      </c>
      <c r="E44" s="668">
        <f t="shared" ref="E44:K44" si="10">E71</f>
        <v>0</v>
      </c>
      <c r="F44" s="668">
        <f t="shared" si="10"/>
        <v>0</v>
      </c>
      <c r="G44" s="668">
        <f t="shared" si="10"/>
        <v>0</v>
      </c>
      <c r="H44" s="668">
        <f t="shared" si="10"/>
        <v>0</v>
      </c>
      <c r="I44" s="668">
        <f t="shared" si="10"/>
        <v>0</v>
      </c>
      <c r="J44" s="668">
        <f t="shared" si="10"/>
        <v>0</v>
      </c>
      <c r="K44" s="668">
        <f t="shared" si="10"/>
        <v>0</v>
      </c>
      <c r="L44" s="672">
        <f>SUM(D44:INDEX(D44:K44,0,MATCH('RFPR cover'!$C$7,$D$6:$K$6,0)))</f>
        <v>0</v>
      </c>
      <c r="M44" s="673">
        <f t="shared" si="5"/>
        <v>0</v>
      </c>
    </row>
    <row r="45" spans="1:14" s="2" customFormat="1">
      <c r="A45" s="159" t="str">
        <f t="shared" si="3"/>
        <v>g</v>
      </c>
      <c r="B45" s="35" t="str">
        <f>$B$17&amp;""</f>
        <v/>
      </c>
      <c r="C45" s="154" t="str">
        <f>'RFPR cover'!$C$14</f>
        <v>£m 12/13</v>
      </c>
      <c r="D45" s="668">
        <f>D75</f>
        <v>0</v>
      </c>
      <c r="E45" s="668">
        <f t="shared" ref="E45:K45" si="11">E75</f>
        <v>0</v>
      </c>
      <c r="F45" s="668">
        <f t="shared" si="11"/>
        <v>0</v>
      </c>
      <c r="G45" s="668">
        <f t="shared" si="11"/>
        <v>0</v>
      </c>
      <c r="H45" s="668">
        <f t="shared" si="11"/>
        <v>0</v>
      </c>
      <c r="I45" s="668">
        <f t="shared" si="11"/>
        <v>0</v>
      </c>
      <c r="J45" s="668">
        <f t="shared" si="11"/>
        <v>0</v>
      </c>
      <c r="K45" s="668">
        <f t="shared" si="11"/>
        <v>0</v>
      </c>
      <c r="L45" s="672">
        <f>SUM(D45:INDEX(D45:K45,0,MATCH('RFPR cover'!$C$7,$D$6:$K$6,0)))</f>
        <v>0</v>
      </c>
      <c r="M45" s="673">
        <f t="shared" si="5"/>
        <v>0</v>
      </c>
    </row>
    <row r="46" spans="1:14" s="2" customFormat="1">
      <c r="B46" s="12" t="s">
        <v>204</v>
      </c>
      <c r="C46" s="155" t="str">
        <f>'RFPR cover'!$C$14</f>
        <v>£m 12/13</v>
      </c>
      <c r="D46" s="607">
        <f>SUM(D39:D45)</f>
        <v>5.9653594580880451</v>
      </c>
      <c r="E46" s="607">
        <f t="shared" ref="E46:M46" si="12">SUM(E39:E45)</f>
        <v>6.3576460525171541</v>
      </c>
      <c r="F46" s="607">
        <f t="shared" si="12"/>
        <v>4.8612165411603918</v>
      </c>
      <c r="G46" s="607">
        <f t="shared" si="12"/>
        <v>6.7384300000000001</v>
      </c>
      <c r="H46" s="608">
        <f t="shared" si="12"/>
        <v>6.6068450000000016</v>
      </c>
      <c r="I46" s="608">
        <f t="shared" si="12"/>
        <v>5.7344505072953185</v>
      </c>
      <c r="J46" s="608">
        <f t="shared" si="12"/>
        <v>5.6693505072953183</v>
      </c>
      <c r="K46" s="608">
        <f t="shared" si="12"/>
        <v>5.6161505072953188</v>
      </c>
      <c r="L46" s="607">
        <f t="shared" si="12"/>
        <v>30.529497051765592</v>
      </c>
      <c r="M46" s="607">
        <f t="shared" si="12"/>
        <v>47.549448573651553</v>
      </c>
    </row>
    <row r="47" spans="1:14" s="2" customFormat="1">
      <c r="B47" s="12"/>
      <c r="C47" s="155"/>
      <c r="D47" s="155"/>
      <c r="E47" s="155"/>
      <c r="F47" s="155"/>
      <c r="G47" s="155"/>
      <c r="H47" s="155"/>
      <c r="I47" s="155"/>
      <c r="J47" s="155"/>
      <c r="K47" s="155"/>
      <c r="L47" s="155"/>
      <c r="M47" s="155"/>
    </row>
    <row r="48" spans="1:14" s="2" customFormat="1">
      <c r="B48" s="12"/>
      <c r="C48" s="155"/>
      <c r="D48" s="160"/>
      <c r="E48" s="155"/>
      <c r="F48" s="155"/>
      <c r="G48" s="155"/>
      <c r="H48" s="155"/>
      <c r="I48" s="155"/>
      <c r="J48" s="155"/>
      <c r="K48" s="155"/>
      <c r="L48" s="155"/>
      <c r="M48" s="155"/>
    </row>
    <row r="49" spans="1:13" s="2" customFormat="1">
      <c r="A49" s="159" t="str">
        <f>$A$11</f>
        <v>a</v>
      </c>
      <c r="B49" s="170" t="str">
        <f>INDEX($B$11:$B$15,MATCH($A49,$A$11:$A$15,0),0)&amp;""</f>
        <v>Broad measure of customer service</v>
      </c>
      <c r="C49" s="154" t="str">
        <f>'RFPR cover'!$C$14</f>
        <v>£m 12/13</v>
      </c>
      <c r="D49" s="779">
        <f>INDEX($D$11:$K$17,MATCH($A49,$A$11:$A$17,0),0)</f>
        <v>2.592000000000001</v>
      </c>
      <c r="E49" s="779">
        <f t="shared" ref="E49:K49" si="13">INDEX($D$11:$K$17,MATCH($A49,$A$11:$A$17,0),0)</f>
        <v>2.4577</v>
      </c>
      <c r="F49" s="779">
        <f t="shared" si="13"/>
        <v>2.7549999999999999</v>
      </c>
      <c r="G49" s="779">
        <f t="shared" si="13"/>
        <v>2.6829999999999998</v>
      </c>
      <c r="H49" s="779">
        <f t="shared" si="13"/>
        <v>2.7174999999999998</v>
      </c>
      <c r="I49" s="779">
        <f t="shared" si="13"/>
        <v>2.7174999999999998</v>
      </c>
      <c r="J49" s="779">
        <f t="shared" si="13"/>
        <v>2.7174999999999998</v>
      </c>
      <c r="K49" s="779">
        <f t="shared" si="13"/>
        <v>2.7174999999999998</v>
      </c>
      <c r="L49" s="779">
        <f>SUM(D49:INDEX(D49:K49,0,MATCH('RFPR cover'!$C$7,$D$6:$K$6,0)))</f>
        <v>13.2052</v>
      </c>
      <c r="M49" s="780">
        <f>SUM(D49:K49)</f>
        <v>21.357700000000001</v>
      </c>
    </row>
    <row r="50" spans="1:13" s="2" customFormat="1">
      <c r="A50" s="159"/>
      <c r="B50" s="35" t="s">
        <v>201</v>
      </c>
      <c r="C50" s="292" t="s">
        <v>202</v>
      </c>
      <c r="D50" s="879">
        <f>IF($C50=$B$33,$B$33,INDEX(Data!$G$14:$G$30,MATCH('R5 - Output Incentives'!D$6+RIGHT('R5 - Output Incentives'!$C50,2),Data!$C$14:$C$30,0),0))</f>
        <v>0.19</v>
      </c>
      <c r="E50" s="880">
        <f>IF($C50=$B$33,$B$33,INDEX(Data!$G$14:$G$30,MATCH('R5 - Output Incentives'!E$6+RIGHT('R5 - Output Incentives'!$C50,2),Data!$C$14:$C$30,0),0))</f>
        <v>0.19</v>
      </c>
      <c r="F50" s="880">
        <f>IF($C50=$B$33,$B$33,INDEX(Data!$G$14:$G$30,MATCH('R5 - Output Incentives'!F$6+RIGHT('R5 - Output Incentives'!$C50,2),Data!$C$14:$C$30,0),0))</f>
        <v>0.19</v>
      </c>
      <c r="G50" s="880">
        <f>IF($C50=$B$33,$B$33,INDEX(Data!$G$14:$G$30,MATCH('R5 - Output Incentives'!G$6+RIGHT('R5 - Output Incentives'!$C50,2),Data!$C$14:$C$30,0),0))</f>
        <v>0.19</v>
      </c>
      <c r="H50" s="880">
        <f>IF($C50=$B$33,$B$33,INDEX(Data!$G$14:$G$30,MATCH('R5 - Output Incentives'!H$6+RIGHT('R5 - Output Incentives'!$C50,2),Data!$C$14:$C$30,0),0))</f>
        <v>0.19</v>
      </c>
      <c r="I50" s="880">
        <f>IF($C50=$B$33,$B$33,INDEX(Data!$G$14:$G$30,MATCH('R5 - Output Incentives'!I$6+RIGHT('R5 - Output Incentives'!$C50,2),Data!$C$14:$C$30,0),0))</f>
        <v>0.19</v>
      </c>
      <c r="J50" s="880">
        <f>IF($C50=$B$33,$B$33,INDEX(Data!$G$14:$G$30,MATCH('R5 - Output Incentives'!J$6+RIGHT('R5 - Output Incentives'!$C50,2),Data!$C$14:$C$30,0),0))</f>
        <v>0.19</v>
      </c>
      <c r="K50" s="881">
        <f>IF($C50=$B$33,$B$33,INDEX(Data!$G$14:$G$30,MATCH('R5 - Output Incentives'!K$6+RIGHT('R5 - Output Incentives'!$C50,2),Data!$C$14:$C$30,0),0))</f>
        <v>0.19</v>
      </c>
      <c r="L50" s="781"/>
      <c r="M50" s="782"/>
    </row>
    <row r="51" spans="1:13" s="2" customFormat="1">
      <c r="A51" s="159"/>
      <c r="B51" s="35" t="s">
        <v>210</v>
      </c>
      <c r="C51" s="154"/>
      <c r="D51" s="607">
        <f>IFERROR(D49*(1-D50),0)</f>
        <v>2.0995200000000009</v>
      </c>
      <c r="E51" s="608">
        <f t="shared" ref="E51:K51" si="14">IFERROR(E49*(1-E50),0)</f>
        <v>1.9907370000000002</v>
      </c>
      <c r="F51" s="608">
        <f t="shared" si="14"/>
        <v>2.2315499999999999</v>
      </c>
      <c r="G51" s="608">
        <f t="shared" si="14"/>
        <v>2.1732300000000002</v>
      </c>
      <c r="H51" s="608">
        <f t="shared" si="14"/>
        <v>2.2011750000000001</v>
      </c>
      <c r="I51" s="608">
        <f t="shared" si="14"/>
        <v>2.2011750000000001</v>
      </c>
      <c r="J51" s="608">
        <f t="shared" si="14"/>
        <v>2.2011750000000001</v>
      </c>
      <c r="K51" s="608">
        <f t="shared" si="14"/>
        <v>2.2011750000000001</v>
      </c>
      <c r="L51" s="666">
        <f>SUM(D51:INDEX(D51:K51,0,MATCH('RFPR cover'!$C$7,$D$6:$K$6,0)))</f>
        <v>10.696212000000003</v>
      </c>
      <c r="M51" s="667">
        <f>SUM(D51:K51)</f>
        <v>17.299737</v>
      </c>
    </row>
    <row r="52" spans="1:13" s="2" customFormat="1">
      <c r="A52" s="159"/>
      <c r="B52" s="51"/>
      <c r="C52" s="155"/>
      <c r="D52" s="155"/>
      <c r="E52" s="155"/>
      <c r="F52" s="155"/>
      <c r="G52" s="155"/>
      <c r="H52" s="155"/>
      <c r="I52" s="155"/>
      <c r="J52" s="155"/>
      <c r="K52" s="155"/>
      <c r="L52" s="155"/>
      <c r="M52" s="155"/>
    </row>
    <row r="53" spans="1:13" s="2" customFormat="1">
      <c r="A53" s="159" t="str">
        <f>$A$12</f>
        <v>b</v>
      </c>
      <c r="B53" s="170" t="str">
        <f>INDEX($B$11:$B$15,MATCH($A53,$A$11:$A$15,0),0)&amp;""</f>
        <v>Interruptions-related quality of service</v>
      </c>
      <c r="C53" s="154" t="str">
        <f>'RFPR cover'!$C$14</f>
        <v>£m 12/13</v>
      </c>
      <c r="D53" s="779">
        <f>INDEX($D$11:$K$17,MATCH($A53,$A$11:$A$17,0),0)</f>
        <v>4.3155413062815349</v>
      </c>
      <c r="E53" s="779">
        <f t="shared" ref="E53:K53" si="15">INDEX($D$11:$K$17,MATCH($A53,$A$11:$A$17,0),0)</f>
        <v>4.6832621226325175</v>
      </c>
      <c r="F53" s="779">
        <f t="shared" si="15"/>
        <v>2.5046019026671491</v>
      </c>
      <c r="G53" s="779">
        <f t="shared" si="15"/>
        <v>4.8500493827160494</v>
      </c>
      <c r="H53" s="779">
        <f t="shared" si="15"/>
        <v>4.6390987654320996</v>
      </c>
      <c r="I53" s="779">
        <f t="shared" si="15"/>
        <v>3.5729786383122848</v>
      </c>
      <c r="J53" s="779">
        <f t="shared" si="15"/>
        <v>3.4926082679419146</v>
      </c>
      <c r="K53" s="779">
        <f t="shared" si="15"/>
        <v>3.4269292555962356</v>
      </c>
      <c r="L53" s="668">
        <f>SUM(D53:INDEX(D53:K53,0,MATCH('RFPR cover'!$C$7,$D$6:$K$6,0)))</f>
        <v>20.992553479729349</v>
      </c>
      <c r="M53" s="669">
        <f>SUM(D53:K53)</f>
        <v>31.485069641579784</v>
      </c>
    </row>
    <row r="54" spans="1:13" s="2" customFormat="1">
      <c r="A54" s="159"/>
      <c r="B54" s="35" t="s">
        <v>201</v>
      </c>
      <c r="C54" s="292" t="s">
        <v>202</v>
      </c>
      <c r="D54" s="879">
        <f>IF($C54=$B$33,$B$33,INDEX(Data!$G$14:$G$30,MATCH('R5 - Output Incentives'!D$6+RIGHT('R5 - Output Incentives'!$C54,2),Data!$C$14:$C$30,0),0))</f>
        <v>0.19</v>
      </c>
      <c r="E54" s="880">
        <f>IF($C54=$B$33,$B$33,INDEX(Data!$G$14:$G$30,MATCH('R5 - Output Incentives'!E$6+RIGHT('R5 - Output Incentives'!$C54,2),Data!$C$14:$C$30,0),0))</f>
        <v>0.19</v>
      </c>
      <c r="F54" s="880">
        <f>IF($C54=$B$33,$B$33,INDEX(Data!$G$14:$G$30,MATCH('R5 - Output Incentives'!F$6+RIGHT('R5 - Output Incentives'!$C54,2),Data!$C$14:$C$30,0),0))</f>
        <v>0.19</v>
      </c>
      <c r="G54" s="880">
        <f>IF($C54=$B$33,$B$33,INDEX(Data!$G$14:$G$30,MATCH('R5 - Output Incentives'!G$6+RIGHT('R5 - Output Incentives'!$C54,2),Data!$C$14:$C$30,0),0))</f>
        <v>0.19</v>
      </c>
      <c r="H54" s="880">
        <f>IF($C54=$B$33,$B$33,INDEX(Data!$G$14:$G$30,MATCH('R5 - Output Incentives'!H$6+RIGHT('R5 - Output Incentives'!$C54,2),Data!$C$14:$C$30,0),0))</f>
        <v>0.19</v>
      </c>
      <c r="I54" s="880">
        <f>IF($C54=$B$33,$B$33,INDEX(Data!$G$14:$G$30,MATCH('R5 - Output Incentives'!I$6+RIGHT('R5 - Output Incentives'!$C54,2),Data!$C$14:$C$30,0),0))</f>
        <v>0.19</v>
      </c>
      <c r="J54" s="880">
        <f>IF($C54=$B$33,$B$33,INDEX(Data!$G$14:$G$30,MATCH('R5 - Output Incentives'!J$6+RIGHT('R5 - Output Incentives'!$C54,2),Data!$C$14:$C$30,0),0))</f>
        <v>0.19</v>
      </c>
      <c r="K54" s="881">
        <f>IF($C54=$B$33,$B$33,INDEX(Data!$G$14:$G$30,MATCH('R5 - Output Incentives'!K$6+RIGHT('R5 - Output Incentives'!$C54,2),Data!$C$14:$C$30,0),0))</f>
        <v>0.19</v>
      </c>
      <c r="L54" s="781"/>
      <c r="M54" s="782"/>
    </row>
    <row r="55" spans="1:13" s="2" customFormat="1">
      <c r="A55" s="159"/>
      <c r="B55" s="35" t="s">
        <v>210</v>
      </c>
      <c r="C55" s="154"/>
      <c r="D55" s="607">
        <f>IFERROR(D53*(1-D54),0)</f>
        <v>3.4955884580880436</v>
      </c>
      <c r="E55" s="608">
        <f t="shared" ref="E55:K55" si="16">IFERROR(E53*(1-E54),0)</f>
        <v>3.7934423193323394</v>
      </c>
      <c r="F55" s="608">
        <f t="shared" si="16"/>
        <v>2.0287275411603911</v>
      </c>
      <c r="G55" s="608">
        <f t="shared" si="16"/>
        <v>3.9285400000000004</v>
      </c>
      <c r="H55" s="608">
        <f t="shared" si="16"/>
        <v>3.757670000000001</v>
      </c>
      <c r="I55" s="608">
        <f t="shared" si="16"/>
        <v>2.8941126970329507</v>
      </c>
      <c r="J55" s="608">
        <f t="shared" si="16"/>
        <v>2.829012697032951</v>
      </c>
      <c r="K55" s="608">
        <f t="shared" si="16"/>
        <v>2.7758126970329511</v>
      </c>
      <c r="L55" s="666">
        <f>SUM(D55:INDEX(D55:K55,0,MATCH('RFPR cover'!$C$7,$D$6:$K$6,0)))</f>
        <v>17.003968318580775</v>
      </c>
      <c r="M55" s="667">
        <f>SUM(D55:K55)</f>
        <v>25.502906409679628</v>
      </c>
    </row>
    <row r="56" spans="1:13" s="2" customFormat="1">
      <c r="A56" s="159"/>
      <c r="B56" s="51"/>
      <c r="C56" s="155"/>
      <c r="D56" s="155"/>
      <c r="E56" s="155"/>
      <c r="F56" s="155"/>
      <c r="G56" s="155"/>
      <c r="H56" s="155"/>
      <c r="I56" s="155"/>
      <c r="J56" s="155"/>
      <c r="K56" s="155"/>
      <c r="L56" s="155"/>
      <c r="M56" s="155"/>
    </row>
    <row r="57" spans="1:13" s="2" customFormat="1">
      <c r="A57" s="159" t="str">
        <f>$A$13</f>
        <v>c</v>
      </c>
      <c r="B57" s="170" t="str">
        <f>INDEX($B$11:$B$15,MATCH($A57,$A$11:$A$15,0),0)&amp;""</f>
        <v>Incentive on connections engagement</v>
      </c>
      <c r="C57" s="154" t="str">
        <f>'RFPR cover'!$C$14</f>
        <v>£m 12/13</v>
      </c>
      <c r="D57" s="779">
        <f>INDEX($D$11:$K$17,MATCH($A57,$A$11:$A$17,0),0)</f>
        <v>0</v>
      </c>
      <c r="E57" s="779">
        <f t="shared" ref="E57:K57" si="17">INDEX($D$11:$K$17,MATCH($A57,$A$11:$A$17,0),0)</f>
        <v>0</v>
      </c>
      <c r="F57" s="779">
        <f t="shared" si="17"/>
        <v>0</v>
      </c>
      <c r="G57" s="779">
        <f t="shared" si="17"/>
        <v>0</v>
      </c>
      <c r="H57" s="779">
        <f t="shared" si="17"/>
        <v>0</v>
      </c>
      <c r="I57" s="779">
        <f t="shared" si="17"/>
        <v>0</v>
      </c>
      <c r="J57" s="779">
        <f t="shared" si="17"/>
        <v>0</v>
      </c>
      <c r="K57" s="779">
        <f t="shared" si="17"/>
        <v>0</v>
      </c>
      <c r="L57" s="668">
        <f>SUM(D57:INDEX(D57:K57,0,MATCH('RFPR cover'!$C$7,$D$6:$K$6,0)))</f>
        <v>0</v>
      </c>
      <c r="M57" s="669">
        <f>SUM(D57:K57)</f>
        <v>0</v>
      </c>
    </row>
    <row r="58" spans="1:13" s="2" customFormat="1">
      <c r="A58" s="159"/>
      <c r="B58" s="35" t="s">
        <v>201</v>
      </c>
      <c r="C58" s="292" t="s">
        <v>208</v>
      </c>
      <c r="D58" s="879">
        <f>IF($C58=$B$33,$B$33,INDEX(Data!$G$14:$G$30,MATCH('R5 - Output Incentives'!D$6+RIGHT('R5 - Output Incentives'!$C58,2),Data!$C$14:$C$30,0),0))</f>
        <v>0.19</v>
      </c>
      <c r="E58" s="880">
        <f>IF($C58=$B$33,$B$33,INDEX(Data!$G$14:$G$30,MATCH('R5 - Output Incentives'!E$6+RIGHT('R5 - Output Incentives'!$C58,2),Data!$C$14:$C$30,0),0))</f>
        <v>0.19</v>
      </c>
      <c r="F58" s="880">
        <f>IF($C58=$B$33,$B$33,INDEX(Data!$G$14:$G$30,MATCH('R5 - Output Incentives'!F$6+RIGHT('R5 - Output Incentives'!$C58,2),Data!$C$14:$C$30,0),0))</f>
        <v>0.19</v>
      </c>
      <c r="G58" s="880">
        <f>IF($C58=$B$33,$B$33,INDEX(Data!$G$14:$G$30,MATCH('R5 - Output Incentives'!G$6+RIGHT('R5 - Output Incentives'!$C58,2),Data!$C$14:$C$30,0),0))</f>
        <v>0.19</v>
      </c>
      <c r="H58" s="880">
        <f>IF($C58=$B$33,$B$33,INDEX(Data!$G$14:$G$30,MATCH('R5 - Output Incentives'!H$6+RIGHT('R5 - Output Incentives'!$C58,2),Data!$C$14:$C$30,0),0))</f>
        <v>0.19</v>
      </c>
      <c r="I58" s="880">
        <f>IF($C58=$B$33,$B$33,INDEX(Data!$G$14:$G$30,MATCH('R5 - Output Incentives'!I$6+RIGHT('R5 - Output Incentives'!$C58,2),Data!$C$14:$C$30,0),0))</f>
        <v>0.19</v>
      </c>
      <c r="J58" s="880">
        <f>IF($C58=$B$33,$B$33,INDEX(Data!$G$14:$G$30,MATCH('R5 - Output Incentives'!J$6+RIGHT('R5 - Output Incentives'!$C58,2),Data!$C$14:$C$30,0),0))</f>
        <v>0.19</v>
      </c>
      <c r="K58" s="881">
        <f>IF($C58=$B$33,$B$33,INDEX(Data!$G$14:$G$30,MATCH('R5 - Output Incentives'!K$6+RIGHT('R5 - Output Incentives'!$C58,2),Data!$C$14:$C$30,0),0))</f>
        <v>0.19</v>
      </c>
      <c r="L58" s="781"/>
      <c r="M58" s="782"/>
    </row>
    <row r="59" spans="1:13" s="2" customFormat="1">
      <c r="A59" s="159"/>
      <c r="B59" s="35" t="s">
        <v>210</v>
      </c>
      <c r="C59" s="154"/>
      <c r="D59" s="607">
        <f>IFERROR(D57*(1-D58),0)</f>
        <v>0</v>
      </c>
      <c r="E59" s="608">
        <f t="shared" ref="E59:K59" si="18">IFERROR(E57*(1-E58),0)</f>
        <v>0</v>
      </c>
      <c r="F59" s="608">
        <f t="shared" si="18"/>
        <v>0</v>
      </c>
      <c r="G59" s="608">
        <f t="shared" si="18"/>
        <v>0</v>
      </c>
      <c r="H59" s="608">
        <f t="shared" si="18"/>
        <v>0</v>
      </c>
      <c r="I59" s="608">
        <f t="shared" si="18"/>
        <v>0</v>
      </c>
      <c r="J59" s="608">
        <f t="shared" si="18"/>
        <v>0</v>
      </c>
      <c r="K59" s="608">
        <f t="shared" si="18"/>
        <v>0</v>
      </c>
      <c r="L59" s="666">
        <f>SUM(D59:INDEX(D59:K59,0,MATCH('RFPR cover'!$C$7,$D$6:$K$6,0)))</f>
        <v>0</v>
      </c>
      <c r="M59" s="667">
        <f>SUM(D59:K59)</f>
        <v>0</v>
      </c>
    </row>
    <row r="60" spans="1:13" s="2" customFormat="1">
      <c r="A60" s="159"/>
      <c r="B60" s="51"/>
      <c r="C60" s="155"/>
      <c r="D60" s="155"/>
      <c r="E60" s="155"/>
      <c r="F60" s="155"/>
      <c r="G60" s="155"/>
      <c r="H60" s="155"/>
      <c r="I60" s="155"/>
      <c r="J60" s="155"/>
      <c r="K60" s="155"/>
      <c r="L60" s="155"/>
      <c r="M60" s="155"/>
    </row>
    <row r="61" spans="1:13" s="2" customFormat="1">
      <c r="A61" s="159" t="str">
        <f>$A$14</f>
        <v>d</v>
      </c>
      <c r="B61" s="170" t="str">
        <f>INDEX($B$11:$B$15,MATCH($A61,$A$11:$A$15,0),0)&amp;""</f>
        <v>Time to Connect Incentive</v>
      </c>
      <c r="C61" s="154" t="str">
        <f>'RFPR cover'!$C$14</f>
        <v>£m 12/13</v>
      </c>
      <c r="D61" s="779">
        <f>INDEX($D$11:$K$17,MATCH($A61,$A$11:$A$17,0),0)</f>
        <v>0.45710000000000017</v>
      </c>
      <c r="E61" s="779">
        <f t="shared" ref="E61:K61" si="19">INDEX($D$11:$K$17,MATCH($A61,$A$11:$A$17,0),0)</f>
        <v>0.66798362121582</v>
      </c>
      <c r="F61" s="779">
        <f t="shared" si="19"/>
        <v>0.74190000000000011</v>
      </c>
      <c r="G61" s="779">
        <f t="shared" si="19"/>
        <v>0.78600000000000014</v>
      </c>
      <c r="H61" s="779">
        <f t="shared" si="19"/>
        <v>0.8</v>
      </c>
      <c r="I61" s="779">
        <f t="shared" si="19"/>
        <v>0.78908988921279921</v>
      </c>
      <c r="J61" s="779">
        <f t="shared" si="19"/>
        <v>0.78908988921279921</v>
      </c>
      <c r="K61" s="779">
        <f t="shared" si="19"/>
        <v>0.78908988921279921</v>
      </c>
      <c r="L61" s="668">
        <f>SUM(D61:INDEX(D61:K61,0,MATCH('RFPR cover'!$C$7,$D$6:$K$6,0)))</f>
        <v>3.4529836212158207</v>
      </c>
      <c r="M61" s="669">
        <f>SUM(D61:K61)</f>
        <v>5.820253288854218</v>
      </c>
    </row>
    <row r="62" spans="1:13" s="2" customFormat="1">
      <c r="A62" s="159"/>
      <c r="B62" s="35" t="s">
        <v>201</v>
      </c>
      <c r="C62" s="292" t="s">
        <v>202</v>
      </c>
      <c r="D62" s="879">
        <f>IF($C62=$B$33,$B$33,INDEX(Data!$G$14:$G$30,MATCH('R5 - Output Incentives'!D$6+RIGHT('R5 - Output Incentives'!$C62,2),Data!$C$14:$C$30,0),0))</f>
        <v>0.19</v>
      </c>
      <c r="E62" s="880">
        <f>IF($C62=$B$33,$B$33,INDEX(Data!$G$14:$G$30,MATCH('R5 - Output Incentives'!E$6+RIGHT('R5 - Output Incentives'!$C62,2),Data!$C$14:$C$30,0),0))</f>
        <v>0.19</v>
      </c>
      <c r="F62" s="880">
        <f>IF($C62=$B$33,$B$33,INDEX(Data!$G$14:$G$30,MATCH('R5 - Output Incentives'!F$6+RIGHT('R5 - Output Incentives'!$C62,2),Data!$C$14:$C$30,0),0))</f>
        <v>0.19</v>
      </c>
      <c r="G62" s="880">
        <f>IF($C62=$B$33,$B$33,INDEX(Data!$G$14:$G$30,MATCH('R5 - Output Incentives'!G$6+RIGHT('R5 - Output Incentives'!$C62,2),Data!$C$14:$C$30,0),0))</f>
        <v>0.19</v>
      </c>
      <c r="H62" s="880">
        <f>IF($C62=$B$33,$B$33,INDEX(Data!$G$14:$G$30,MATCH('R5 - Output Incentives'!H$6+RIGHT('R5 - Output Incentives'!$C62,2),Data!$C$14:$C$30,0),0))</f>
        <v>0.19</v>
      </c>
      <c r="I62" s="880">
        <f>IF($C62=$B$33,$B$33,INDEX(Data!$G$14:$G$30,MATCH('R5 - Output Incentives'!I$6+RIGHT('R5 - Output Incentives'!$C62,2),Data!$C$14:$C$30,0),0))</f>
        <v>0.19</v>
      </c>
      <c r="J62" s="880">
        <f>IF($C62=$B$33,$B$33,INDEX(Data!$G$14:$G$30,MATCH('R5 - Output Incentives'!J$6+RIGHT('R5 - Output Incentives'!$C62,2),Data!$C$14:$C$30,0),0))</f>
        <v>0.19</v>
      </c>
      <c r="K62" s="881">
        <f>IF($C62=$B$33,$B$33,INDEX(Data!$G$14:$G$30,MATCH('R5 - Output Incentives'!K$6+RIGHT('R5 - Output Incentives'!$C62,2),Data!$C$14:$C$30,0),0))</f>
        <v>0.19</v>
      </c>
      <c r="L62" s="781"/>
      <c r="M62" s="782"/>
    </row>
    <row r="63" spans="1:13" s="2" customFormat="1">
      <c r="A63" s="159"/>
      <c r="B63" s="35" t="s">
        <v>210</v>
      </c>
      <c r="C63" s="154"/>
      <c r="D63" s="607">
        <f>IFERROR(D61*(1-D62),0)</f>
        <v>0.37025100000000016</v>
      </c>
      <c r="E63" s="608">
        <f t="shared" ref="E63:K63" si="20">IFERROR(E61*(1-E62),0)</f>
        <v>0.54106673318481424</v>
      </c>
      <c r="F63" s="608">
        <f t="shared" si="20"/>
        <v>0.60093900000000011</v>
      </c>
      <c r="G63" s="608">
        <f t="shared" si="20"/>
        <v>0.63666000000000011</v>
      </c>
      <c r="H63" s="608">
        <f t="shared" si="20"/>
        <v>0.64800000000000013</v>
      </c>
      <c r="I63" s="608">
        <f t="shared" si="20"/>
        <v>0.63916281026236743</v>
      </c>
      <c r="J63" s="608">
        <f t="shared" si="20"/>
        <v>0.63916281026236743</v>
      </c>
      <c r="K63" s="608">
        <f t="shared" si="20"/>
        <v>0.63916281026236743</v>
      </c>
      <c r="L63" s="666">
        <f>SUM(D63:INDEX(D63:K63,0,MATCH('RFPR cover'!$C$7,$D$6:$K$6,0)))</f>
        <v>2.7969167331848146</v>
      </c>
      <c r="M63" s="667">
        <f>SUM(D63:K63)</f>
        <v>4.7144051639719162</v>
      </c>
    </row>
    <row r="64" spans="1:13" s="2" customFormat="1">
      <c r="A64" s="159"/>
      <c r="B64" s="51"/>
      <c r="C64" s="155"/>
      <c r="D64" s="155"/>
      <c r="E64" s="155"/>
      <c r="F64" s="155"/>
      <c r="G64" s="155"/>
      <c r="H64" s="155"/>
      <c r="I64" s="155"/>
      <c r="J64" s="155"/>
      <c r="K64" s="155"/>
      <c r="L64" s="155"/>
      <c r="M64" s="155"/>
    </row>
    <row r="65" spans="1:14" s="2" customFormat="1">
      <c r="A65" s="159" t="str">
        <f>$A$15</f>
        <v>e</v>
      </c>
      <c r="B65" s="170" t="str">
        <f>INDEX($B$11:$B$15,MATCH($A65,$A$11:$A$15,0),0)&amp;""</f>
        <v>Losses discretionary reward scheme</v>
      </c>
      <c r="C65" s="154" t="str">
        <f>'RFPR cover'!$C$14</f>
        <v>£m 12/13</v>
      </c>
      <c r="D65" s="779">
        <f>INDEX($D$11:$K$17,MATCH($A65,$A$11:$A$17,0),0)</f>
        <v>0</v>
      </c>
      <c r="E65" s="779">
        <f t="shared" ref="E65:K65" si="21">INDEX($D$11:$K$17,MATCH($A65,$A$11:$A$17,0),0)</f>
        <v>0.04</v>
      </c>
      <c r="F65" s="779">
        <f t="shared" si="21"/>
        <v>0</v>
      </c>
      <c r="G65" s="779">
        <f t="shared" si="21"/>
        <v>0</v>
      </c>
      <c r="H65" s="779">
        <f t="shared" si="21"/>
        <v>0</v>
      </c>
      <c r="I65" s="779">
        <f t="shared" si="21"/>
        <v>0</v>
      </c>
      <c r="J65" s="779">
        <f t="shared" si="21"/>
        <v>0</v>
      </c>
      <c r="K65" s="779">
        <f t="shared" si="21"/>
        <v>0</v>
      </c>
      <c r="L65" s="668">
        <f>SUM(D65:INDEX(D65:K65,0,MATCH('RFPR cover'!$C$7,$D$6:$K$6,0)))</f>
        <v>0.04</v>
      </c>
      <c r="M65" s="669">
        <f>SUM(D65:K65)</f>
        <v>0.04</v>
      </c>
    </row>
    <row r="66" spans="1:14" s="2" customFormat="1">
      <c r="A66" s="159"/>
      <c r="B66" s="35" t="s">
        <v>201</v>
      </c>
      <c r="C66" s="292" t="s">
        <v>209</v>
      </c>
      <c r="D66" s="879">
        <f>IF($C66=$B$33,$B$33,INDEX(Data!$G$14:$G$30,MATCH('R5 - Output Incentives'!D$6+RIGHT('R5 - Output Incentives'!$C66,2),Data!$C$14:$C$30,0),0))</f>
        <v>0.2</v>
      </c>
      <c r="E66" s="880">
        <f>IF($C66=$B$33,$B$33,INDEX(Data!$G$14:$G$30,MATCH('R5 - Output Incentives'!E$6+RIGHT('R5 - Output Incentives'!$C66,2),Data!$C$14:$C$30,0),0))</f>
        <v>0.19</v>
      </c>
      <c r="F66" s="880">
        <f>IF($C66=$B$33,$B$33,INDEX(Data!$G$14:$G$30,MATCH('R5 - Output Incentives'!F$6+RIGHT('R5 - Output Incentives'!$C66,2),Data!$C$14:$C$30,0),0))</f>
        <v>0.19</v>
      </c>
      <c r="G66" s="880">
        <f>IF($C66=$B$33,$B$33,INDEX(Data!$G$14:$G$30,MATCH('R5 - Output Incentives'!G$6+RIGHT('R5 - Output Incentives'!$C66,2),Data!$C$14:$C$30,0),0))</f>
        <v>0.19</v>
      </c>
      <c r="H66" s="880">
        <f>IF($C66=$B$33,$B$33,INDEX(Data!$G$14:$G$30,MATCH('R5 - Output Incentives'!H$6+RIGHT('R5 - Output Incentives'!$C66,2),Data!$C$14:$C$30,0),0))</f>
        <v>0.19</v>
      </c>
      <c r="I66" s="880">
        <f>IF($C66=$B$33,$B$33,INDEX(Data!$G$14:$G$30,MATCH('R5 - Output Incentives'!I$6+RIGHT('R5 - Output Incentives'!$C66,2),Data!$C$14:$C$30,0),0))</f>
        <v>0.19</v>
      </c>
      <c r="J66" s="880">
        <f>IF($C66=$B$33,$B$33,INDEX(Data!$G$14:$G$30,MATCH('R5 - Output Incentives'!J$6+RIGHT('R5 - Output Incentives'!$C66,2),Data!$C$14:$C$30,0),0))</f>
        <v>0.19</v>
      </c>
      <c r="K66" s="881">
        <f>IF($C66=$B$33,$B$33,INDEX(Data!$G$14:$G$30,MATCH('R5 - Output Incentives'!K$6+RIGHT('R5 - Output Incentives'!$C66,2),Data!$C$14:$C$30,0),0))</f>
        <v>0.19</v>
      </c>
      <c r="L66" s="781"/>
      <c r="M66" s="782"/>
    </row>
    <row r="67" spans="1:14" s="2" customFormat="1">
      <c r="A67" s="159"/>
      <c r="B67" s="35" t="s">
        <v>210</v>
      </c>
      <c r="C67" s="154"/>
      <c r="D67" s="607">
        <f>IFERROR(D65*(1-D66),0)</f>
        <v>0</v>
      </c>
      <c r="E67" s="608">
        <f t="shared" ref="E67:K67" si="22">IFERROR(E65*(1-E66),0)</f>
        <v>3.2400000000000005E-2</v>
      </c>
      <c r="F67" s="608">
        <f t="shared" si="22"/>
        <v>0</v>
      </c>
      <c r="G67" s="608">
        <f t="shared" si="22"/>
        <v>0</v>
      </c>
      <c r="H67" s="608">
        <f t="shared" si="22"/>
        <v>0</v>
      </c>
      <c r="I67" s="608">
        <f t="shared" si="22"/>
        <v>0</v>
      </c>
      <c r="J67" s="608">
        <f t="shared" si="22"/>
        <v>0</v>
      </c>
      <c r="K67" s="608">
        <f t="shared" si="22"/>
        <v>0</v>
      </c>
      <c r="L67" s="666">
        <f>SUM(D67:INDEX(D67:K67,0,MATCH('RFPR cover'!$C$7,$D$6:$K$6,0)))</f>
        <v>3.2400000000000005E-2</v>
      </c>
      <c r="M67" s="667">
        <f>SUM(D67:K67)</f>
        <v>3.2400000000000005E-2</v>
      </c>
    </row>
    <row r="68" spans="1:14" s="2" customFormat="1">
      <c r="A68" s="159"/>
      <c r="B68" s="51"/>
      <c r="C68" s="155"/>
      <c r="D68" s="155"/>
      <c r="E68" s="155"/>
      <c r="F68" s="155"/>
      <c r="G68" s="155"/>
      <c r="H68" s="155"/>
      <c r="I68" s="155"/>
      <c r="J68" s="155"/>
      <c r="K68" s="155"/>
      <c r="L68" s="155"/>
      <c r="M68" s="155"/>
    </row>
    <row r="69" spans="1:14" s="2" customFormat="1">
      <c r="A69" s="159" t="str">
        <f>$A$16</f>
        <v>f</v>
      </c>
      <c r="B69" s="170" t="str">
        <f>INDEX($B$11:$B$17,MATCH($A69,$A$11:$A$17,0),0)&amp;""</f>
        <v/>
      </c>
      <c r="C69" s="154" t="str">
        <f>'RFPR cover'!$C$14</f>
        <v>£m 12/13</v>
      </c>
      <c r="D69" s="779">
        <f>INDEX($D$11:$K$17,MATCH($A69,$A$11:$A$17,0),0)</f>
        <v>0</v>
      </c>
      <c r="E69" s="779">
        <f t="shared" ref="E69:K69" si="23">INDEX($D$11:$K$17,MATCH($A69,$A$11:$A$17,0),0)</f>
        <v>0</v>
      </c>
      <c r="F69" s="779">
        <f t="shared" si="23"/>
        <v>0</v>
      </c>
      <c r="G69" s="779">
        <f t="shared" si="23"/>
        <v>0</v>
      </c>
      <c r="H69" s="779">
        <f t="shared" si="23"/>
        <v>0</v>
      </c>
      <c r="I69" s="779">
        <f t="shared" si="23"/>
        <v>0</v>
      </c>
      <c r="J69" s="779">
        <f t="shared" si="23"/>
        <v>0</v>
      </c>
      <c r="K69" s="779">
        <f t="shared" si="23"/>
        <v>0</v>
      </c>
      <c r="L69" s="668">
        <f>SUM(D69:INDEX(D69:K69,0,MATCH('RFPR cover'!$C$7,$D$6:$K$6,0)))</f>
        <v>0</v>
      </c>
      <c r="M69" s="669">
        <f>SUM(D69:K69)</f>
        <v>0</v>
      </c>
    </row>
    <row r="70" spans="1:14" s="2" customFormat="1">
      <c r="A70" s="159"/>
      <c r="B70" s="35" t="s">
        <v>201</v>
      </c>
      <c r="C70" s="292" t="s">
        <v>209</v>
      </c>
      <c r="D70" s="879">
        <f>IF($C70=$B$33,$B$33,INDEX(Data!$G$14:$G$30,MATCH('R5 - Output Incentives'!D$6+RIGHT('R5 - Output Incentives'!$C70,2),Data!$C$14:$C$30,0),0))</f>
        <v>0.2</v>
      </c>
      <c r="E70" s="880">
        <f>IF($C70=$B$33,$B$33,INDEX(Data!$G$14:$G$30,MATCH('R5 - Output Incentives'!E$6+RIGHT('R5 - Output Incentives'!$C70,2),Data!$C$14:$C$30,0),0))</f>
        <v>0.19</v>
      </c>
      <c r="F70" s="880">
        <f>IF($C70=$B$33,$B$33,INDEX(Data!$G$14:$G$30,MATCH('R5 - Output Incentives'!F$6+RIGHT('R5 - Output Incentives'!$C70,2),Data!$C$14:$C$30,0),0))</f>
        <v>0.19</v>
      </c>
      <c r="G70" s="880">
        <f>IF($C70=$B$33,$B$33,INDEX(Data!$G$14:$G$30,MATCH('R5 - Output Incentives'!G$6+RIGHT('R5 - Output Incentives'!$C70,2),Data!$C$14:$C$30,0),0))</f>
        <v>0.19</v>
      </c>
      <c r="H70" s="880">
        <f>IF($C70=$B$33,$B$33,INDEX(Data!$G$14:$G$30,MATCH('R5 - Output Incentives'!H$6+RIGHT('R5 - Output Incentives'!$C70,2),Data!$C$14:$C$30,0),0))</f>
        <v>0.19</v>
      </c>
      <c r="I70" s="880">
        <f>IF($C70=$B$33,$B$33,INDEX(Data!$G$14:$G$30,MATCH('R5 - Output Incentives'!I$6+RIGHT('R5 - Output Incentives'!$C70,2),Data!$C$14:$C$30,0),0))</f>
        <v>0.19</v>
      </c>
      <c r="J70" s="880">
        <f>IF($C70=$B$33,$B$33,INDEX(Data!$G$14:$G$30,MATCH('R5 - Output Incentives'!J$6+RIGHT('R5 - Output Incentives'!$C70,2),Data!$C$14:$C$30,0),0))</f>
        <v>0.19</v>
      </c>
      <c r="K70" s="881">
        <f>IF($C70=$B$33,$B$33,INDEX(Data!$G$14:$G$30,MATCH('R5 - Output Incentives'!K$6+RIGHT('R5 - Output Incentives'!$C70,2),Data!$C$14:$C$30,0),0))</f>
        <v>0.19</v>
      </c>
      <c r="L70" s="781"/>
      <c r="M70" s="782"/>
    </row>
    <row r="71" spans="1:14" s="2" customFormat="1">
      <c r="A71" s="159"/>
      <c r="B71" s="35" t="s">
        <v>210</v>
      </c>
      <c r="C71" s="154"/>
      <c r="D71" s="607">
        <f>IFERROR(D69*(1-D70),0)</f>
        <v>0</v>
      </c>
      <c r="E71" s="608">
        <f t="shared" ref="E71:K71" si="24">IFERROR(E69*(1-E70),0)</f>
        <v>0</v>
      </c>
      <c r="F71" s="608">
        <f t="shared" si="24"/>
        <v>0</v>
      </c>
      <c r="G71" s="608">
        <f t="shared" si="24"/>
        <v>0</v>
      </c>
      <c r="H71" s="608">
        <f t="shared" si="24"/>
        <v>0</v>
      </c>
      <c r="I71" s="608">
        <f t="shared" si="24"/>
        <v>0</v>
      </c>
      <c r="J71" s="608">
        <f t="shared" si="24"/>
        <v>0</v>
      </c>
      <c r="K71" s="608">
        <f t="shared" si="24"/>
        <v>0</v>
      </c>
      <c r="L71" s="666">
        <f>SUM(D71:INDEX(D71:K71,0,MATCH('RFPR cover'!$C$7,$D$6:$K$6,0)))</f>
        <v>0</v>
      </c>
      <c r="M71" s="667">
        <f>SUM(D71:K71)</f>
        <v>0</v>
      </c>
    </row>
    <row r="72" spans="1:14" s="2" customFormat="1">
      <c r="A72" s="159"/>
      <c r="B72" s="51"/>
      <c r="C72" s="155"/>
      <c r="D72" s="155"/>
      <c r="E72" s="155"/>
      <c r="F72" s="155"/>
      <c r="G72" s="155"/>
      <c r="H72" s="155"/>
      <c r="I72" s="155"/>
      <c r="J72" s="155"/>
      <c r="K72" s="155"/>
      <c r="L72" s="155"/>
      <c r="M72" s="155"/>
    </row>
    <row r="73" spans="1:14" s="2" customFormat="1">
      <c r="A73" s="159" t="s">
        <v>478</v>
      </c>
      <c r="B73" s="170" t="str">
        <f>INDEX($B$11:$B$17,MATCH($A73,$A$11:$A$17,0),0)&amp;""</f>
        <v/>
      </c>
      <c r="C73" s="154" t="str">
        <f>'RFPR cover'!$C$14</f>
        <v>£m 12/13</v>
      </c>
      <c r="D73" s="779">
        <f>INDEX($D$11:$K$17,MATCH($A73,$A$11:$A$17,0),0)</f>
        <v>0</v>
      </c>
      <c r="E73" s="779">
        <f t="shared" ref="E73:K73" si="25">INDEX($D$11:$K$17,MATCH($A73,$A$11:$A$17,0),0)</f>
        <v>0</v>
      </c>
      <c r="F73" s="779">
        <f t="shared" si="25"/>
        <v>0</v>
      </c>
      <c r="G73" s="779">
        <f t="shared" si="25"/>
        <v>0</v>
      </c>
      <c r="H73" s="779">
        <f t="shared" si="25"/>
        <v>0</v>
      </c>
      <c r="I73" s="779">
        <f t="shared" si="25"/>
        <v>0</v>
      </c>
      <c r="J73" s="779">
        <f t="shared" si="25"/>
        <v>0</v>
      </c>
      <c r="K73" s="779">
        <f t="shared" si="25"/>
        <v>0</v>
      </c>
      <c r="L73" s="668">
        <f>SUM(D73:INDEX(D73:K73,0,MATCH('RFPR cover'!$C$7,$D$6:$K$6,0)))</f>
        <v>0</v>
      </c>
      <c r="M73" s="669">
        <f>SUM(D73:K73)</f>
        <v>0</v>
      </c>
    </row>
    <row r="74" spans="1:14" s="2" customFormat="1">
      <c r="A74" s="159"/>
      <c r="B74" s="35" t="s">
        <v>201</v>
      </c>
      <c r="C74" s="292" t="s">
        <v>209</v>
      </c>
      <c r="D74" s="879">
        <f>IF($C74=$B$33,$B$33,INDEX(Data!$G$14:$G$30,MATCH('R5 - Output Incentives'!D$6+RIGHT('R5 - Output Incentives'!$C74,2),Data!$C$14:$C$30,0),0))</f>
        <v>0.2</v>
      </c>
      <c r="E74" s="880">
        <f>IF($C74=$B$33,$B$33,INDEX(Data!$G$14:$G$30,MATCH('R5 - Output Incentives'!E$6+RIGHT('R5 - Output Incentives'!$C74,2),Data!$C$14:$C$30,0),0))</f>
        <v>0.19</v>
      </c>
      <c r="F74" s="880">
        <f>IF($C74=$B$33,$B$33,INDEX(Data!$G$14:$G$30,MATCH('R5 - Output Incentives'!F$6+RIGHT('R5 - Output Incentives'!$C74,2),Data!$C$14:$C$30,0),0))</f>
        <v>0.19</v>
      </c>
      <c r="G74" s="880">
        <f>IF($C74=$B$33,$B$33,INDEX(Data!$G$14:$G$30,MATCH('R5 - Output Incentives'!G$6+RIGHT('R5 - Output Incentives'!$C74,2),Data!$C$14:$C$30,0),0))</f>
        <v>0.19</v>
      </c>
      <c r="H74" s="880">
        <f>IF($C74=$B$33,$B$33,INDEX(Data!$G$14:$G$30,MATCH('R5 - Output Incentives'!H$6+RIGHT('R5 - Output Incentives'!$C74,2),Data!$C$14:$C$30,0),0))</f>
        <v>0.19</v>
      </c>
      <c r="I74" s="880">
        <f>IF($C74=$B$33,$B$33,INDEX(Data!$G$14:$G$30,MATCH('R5 - Output Incentives'!I$6+RIGHT('R5 - Output Incentives'!$C74,2),Data!$C$14:$C$30,0),0))</f>
        <v>0.19</v>
      </c>
      <c r="J74" s="880">
        <f>IF($C74=$B$33,$B$33,INDEX(Data!$G$14:$G$30,MATCH('R5 - Output Incentives'!J$6+RIGHT('R5 - Output Incentives'!$C74,2),Data!$C$14:$C$30,0),0))</f>
        <v>0.19</v>
      </c>
      <c r="K74" s="881">
        <f>IF($C74=$B$33,$B$33,INDEX(Data!$G$14:$G$30,MATCH('R5 - Output Incentives'!K$6+RIGHT('R5 - Output Incentives'!$C74,2),Data!$C$14:$C$30,0),0))</f>
        <v>0.19</v>
      </c>
      <c r="L74" s="781"/>
      <c r="M74" s="782"/>
    </row>
    <row r="75" spans="1:14" s="2" customFormat="1">
      <c r="A75" s="159"/>
      <c r="B75" s="35" t="s">
        <v>210</v>
      </c>
      <c r="C75" s="154"/>
      <c r="D75" s="607">
        <f>IFERROR(D73*(1-D74),0)</f>
        <v>0</v>
      </c>
      <c r="E75" s="608">
        <f t="shared" ref="E75:K75" si="26">IFERROR(E73*(1-E74),0)</f>
        <v>0</v>
      </c>
      <c r="F75" s="608">
        <f t="shared" si="26"/>
        <v>0</v>
      </c>
      <c r="G75" s="608">
        <f t="shared" si="26"/>
        <v>0</v>
      </c>
      <c r="H75" s="608">
        <f t="shared" si="26"/>
        <v>0</v>
      </c>
      <c r="I75" s="608">
        <f t="shared" si="26"/>
        <v>0</v>
      </c>
      <c r="J75" s="608">
        <f t="shared" si="26"/>
        <v>0</v>
      </c>
      <c r="K75" s="608">
        <f t="shared" si="26"/>
        <v>0</v>
      </c>
      <c r="L75" s="666">
        <f>SUM(D75:INDEX(D75:K75,0,MATCH('RFPR cover'!$C$7,$D$6:$K$6,0)))</f>
        <v>0</v>
      </c>
      <c r="M75" s="667">
        <f>SUM(D75:K75)</f>
        <v>0</v>
      </c>
    </row>
    <row r="76" spans="1:14" s="530" customFormat="1" ht="14.25" customHeight="1">
      <c r="A76" s="529"/>
      <c r="C76" s="531"/>
      <c r="D76" s="532"/>
      <c r="E76" s="532"/>
      <c r="F76" s="532"/>
      <c r="G76" s="532"/>
      <c r="H76" s="532"/>
      <c r="I76" s="532"/>
      <c r="J76" s="532"/>
      <c r="K76" s="532"/>
      <c r="L76" s="533"/>
      <c r="M76" s="533"/>
    </row>
    <row r="77" spans="1:14" s="2" customFormat="1">
      <c r="B77" s="115" t="s">
        <v>395</v>
      </c>
      <c r="C77" s="149"/>
      <c r="D77" s="132"/>
      <c r="E77" s="132"/>
      <c r="F77" s="132"/>
      <c r="G77" s="132"/>
      <c r="H77" s="132"/>
      <c r="I77" s="132"/>
      <c r="J77" s="132"/>
      <c r="K77" s="132"/>
      <c r="L77" s="81"/>
      <c r="M77" s="81"/>
      <c r="N77" s="81"/>
    </row>
    <row r="78" spans="1:14" s="2" customFormat="1">
      <c r="B78" s="364" t="s">
        <v>394</v>
      </c>
      <c r="C78" s="289"/>
      <c r="D78" s="290"/>
      <c r="E78" s="290"/>
      <c r="F78" s="290"/>
      <c r="G78" s="290"/>
      <c r="H78" s="290"/>
      <c r="I78" s="290"/>
      <c r="J78" s="290"/>
      <c r="K78" s="290"/>
      <c r="L78" s="291"/>
      <c r="M78" s="291"/>
      <c r="N78" s="291"/>
    </row>
    <row r="79" spans="1:14" s="2" customFormat="1">
      <c r="B79" s="364" t="s">
        <v>396</v>
      </c>
      <c r="C79" s="289"/>
      <c r="D79" s="290"/>
      <c r="E79" s="290"/>
      <c r="F79" s="290"/>
      <c r="G79" s="290"/>
      <c r="H79" s="290"/>
      <c r="I79" s="290"/>
      <c r="J79" s="290"/>
      <c r="K79" s="290"/>
      <c r="L79" s="291"/>
      <c r="M79" s="291"/>
      <c r="N79" s="291"/>
    </row>
    <row r="80" spans="1:14" s="530" customFormat="1">
      <c r="B80" s="535"/>
      <c r="C80" s="536"/>
      <c r="D80" s="537"/>
      <c r="E80" s="537"/>
      <c r="F80" s="537"/>
      <c r="G80" s="537"/>
      <c r="H80" s="537"/>
      <c r="I80" s="537"/>
      <c r="J80" s="537"/>
      <c r="K80" s="537"/>
    </row>
    <row r="81" spans="1:12" s="2" customFormat="1">
      <c r="B81" s="12"/>
      <c r="C81" s="538" t="s">
        <v>397</v>
      </c>
      <c r="D81" s="541" t="str">
        <f t="shared" ref="D81:K81" si="27">IF($C50=$B$33,D$6,IF(D$6-RIGHT($C50,1)&lt;$D$6,"Pre-RIIO",D$6-RIGHT($C50,1)))</f>
        <v>Pre-RIIO</v>
      </c>
      <c r="E81" s="542" t="str">
        <f t="shared" si="27"/>
        <v>Pre-RIIO</v>
      </c>
      <c r="F81" s="542">
        <f t="shared" si="27"/>
        <v>2016</v>
      </c>
      <c r="G81" s="542">
        <f t="shared" si="27"/>
        <v>2017</v>
      </c>
      <c r="H81" s="542">
        <f t="shared" si="27"/>
        <v>2018</v>
      </c>
      <c r="I81" s="542">
        <f t="shared" si="27"/>
        <v>2019</v>
      </c>
      <c r="J81" s="542">
        <f t="shared" si="27"/>
        <v>2020</v>
      </c>
      <c r="K81" s="543">
        <f t="shared" si="27"/>
        <v>2021</v>
      </c>
    </row>
    <row r="82" spans="1:12" s="2" customFormat="1">
      <c r="A82" s="3" t="str">
        <f>A11</f>
        <v>a</v>
      </c>
      <c r="B82" s="128" t="str">
        <f>B11&amp;""</f>
        <v>Broad measure of customer service</v>
      </c>
      <c r="C82" s="135" t="s">
        <v>128</v>
      </c>
      <c r="D82" s="635">
        <v>1.5318180553499996</v>
      </c>
      <c r="E82" s="636">
        <v>1.6797453762794363</v>
      </c>
      <c r="F82" s="636">
        <v>2.7483410074588748</v>
      </c>
      <c r="G82" s="636">
        <v>2.6569000740000011</v>
      </c>
      <c r="H82" s="614">
        <f>+F11*Data!E$34</f>
        <v>3.0954185756615917</v>
      </c>
      <c r="I82" s="614">
        <f>+G11*Data!F$34</f>
        <v>3.1066327332175332</v>
      </c>
      <c r="J82" s="614">
        <f>+H11*Data!G$34</f>
        <v>3.2280357004189226</v>
      </c>
      <c r="K82" s="614">
        <f>+I11*Data!H$34</f>
        <v>3.2829123073260438</v>
      </c>
    </row>
    <row r="83" spans="1:12" s="2" customFormat="1">
      <c r="A83" s="3"/>
      <c r="B83" s="128"/>
      <c r="C83" s="135"/>
      <c r="D83" s="135"/>
      <c r="E83" s="135"/>
      <c r="F83" s="135"/>
      <c r="G83" s="135"/>
      <c r="H83" s="135"/>
      <c r="I83" s="135"/>
      <c r="J83" s="135"/>
      <c r="K83" s="135"/>
      <c r="L83" s="135"/>
    </row>
    <row r="84" spans="1:12" s="2" customFormat="1">
      <c r="A84" s="3"/>
      <c r="B84" s="128"/>
      <c r="C84" s="538" t="s">
        <v>397</v>
      </c>
      <c r="D84" s="541" t="str">
        <f t="shared" ref="D84:K84" si="28">IF($C54=$B$33,D$6,IF(D$6-RIGHT($C54,1)&lt;$D$6,"Pre-RIIO",D$6-RIGHT($C54,1)))</f>
        <v>Pre-RIIO</v>
      </c>
      <c r="E84" s="542" t="str">
        <f t="shared" si="28"/>
        <v>Pre-RIIO</v>
      </c>
      <c r="F84" s="542">
        <f t="shared" si="28"/>
        <v>2016</v>
      </c>
      <c r="G84" s="542">
        <f t="shared" si="28"/>
        <v>2017</v>
      </c>
      <c r="H84" s="542">
        <f t="shared" si="28"/>
        <v>2018</v>
      </c>
      <c r="I84" s="542">
        <f t="shared" si="28"/>
        <v>2019</v>
      </c>
      <c r="J84" s="542">
        <f t="shared" si="28"/>
        <v>2020</v>
      </c>
      <c r="K84" s="543">
        <f t="shared" si="28"/>
        <v>2021</v>
      </c>
    </row>
    <row r="85" spans="1:12" s="2" customFormat="1">
      <c r="A85" s="3" t="str">
        <f>A12</f>
        <v>b</v>
      </c>
      <c r="B85" s="128" t="str">
        <f>B12&amp;""</f>
        <v>Interruptions-related quality of service</v>
      </c>
      <c r="C85" s="135" t="s">
        <v>128</v>
      </c>
      <c r="D85" s="635">
        <v>4.8450475039499992</v>
      </c>
      <c r="E85" s="636">
        <v>4.7026683197999999</v>
      </c>
      <c r="F85" s="636">
        <v>5.2112505332402117</v>
      </c>
      <c r="G85" s="636">
        <v>5.8535884616814347</v>
      </c>
      <c r="H85" s="614">
        <v>3.2193322062076191</v>
      </c>
      <c r="I85" s="614">
        <f>+G12*(1+(Data!H$63*Data!$E$83)+(Data!$C$83*(1-Data!$E$83)))*(1+(Data!I$63*Data!$E$83)+(Data!$C$83*(1-Data!$E$83)))*Data!H$34</f>
        <v>6.261237328557308</v>
      </c>
      <c r="J85" s="614">
        <f>+H12*(1+(Data!I$63*Data!$E$83)+(Data!$C$83*(1-Data!$E$83)))*(1+(Data!J$63*Data!$E$83)+(Data!$C$83*(1-Data!$E$83)))*Data!I$34</f>
        <v>6.0846696053764582</v>
      </c>
      <c r="K85" s="614">
        <f>+I12*(1+(Data!J$63*Data!$E$83)+(Data!$C$83*(1-Data!$E$83)))*(1+(Data!K$63*Data!$E$83)+(Data!$C$83*(1-Data!$E$83)))*Data!J$34</f>
        <v>4.7825051052412126</v>
      </c>
    </row>
    <row r="86" spans="1:12" s="2" customFormat="1">
      <c r="A86" s="3"/>
      <c r="B86" s="128"/>
      <c r="C86" s="135"/>
      <c r="D86" s="135"/>
      <c r="E86" s="135"/>
      <c r="F86" s="135"/>
      <c r="G86" s="135"/>
      <c r="H86" s="135"/>
      <c r="I86" s="135"/>
      <c r="J86" s="135"/>
      <c r="K86" s="135"/>
      <c r="L86" s="135"/>
    </row>
    <row r="87" spans="1:12" s="2" customFormat="1">
      <c r="A87" s="3"/>
      <c r="B87" s="128"/>
      <c r="C87" s="538" t="s">
        <v>397</v>
      </c>
      <c r="D87" s="541" t="str">
        <f t="shared" ref="D87:K87" si="29">IF($C58=$B$33,D$6,IF(D$6-RIGHT($C58,1)&lt;$D$6,"Pre-RIIO",D$6-RIGHT($C58,1)))</f>
        <v>Pre-RIIO</v>
      </c>
      <c r="E87" s="542" t="str">
        <f t="shared" si="29"/>
        <v>Pre-RIIO</v>
      </c>
      <c r="F87" s="542" t="str">
        <f t="shared" si="29"/>
        <v>Pre-RIIO</v>
      </c>
      <c r="G87" s="542">
        <f t="shared" si="29"/>
        <v>2016</v>
      </c>
      <c r="H87" s="542">
        <f t="shared" si="29"/>
        <v>2017</v>
      </c>
      <c r="I87" s="542">
        <f t="shared" si="29"/>
        <v>2018</v>
      </c>
      <c r="J87" s="542">
        <f t="shared" si="29"/>
        <v>2019</v>
      </c>
      <c r="K87" s="543">
        <f t="shared" si="29"/>
        <v>2020</v>
      </c>
    </row>
    <row r="88" spans="1:12" s="2" customFormat="1">
      <c r="A88" s="3" t="str">
        <f>A13</f>
        <v>c</v>
      </c>
      <c r="B88" s="128" t="str">
        <f>B13&amp;""</f>
        <v>Incentive on connections engagement</v>
      </c>
      <c r="C88" s="135" t="s">
        <v>128</v>
      </c>
      <c r="D88" s="635">
        <v>0</v>
      </c>
      <c r="E88" s="636">
        <v>0</v>
      </c>
      <c r="F88" s="636">
        <v>0</v>
      </c>
      <c r="G88" s="636">
        <v>0</v>
      </c>
      <c r="H88" s="614">
        <f>+E13*Data!D$34</f>
        <v>0</v>
      </c>
      <c r="I88" s="614">
        <f>+F13*Data!E$34</f>
        <v>0</v>
      </c>
      <c r="J88" s="614">
        <f>+G13*Data!F$34</f>
        <v>0</v>
      </c>
      <c r="K88" s="614">
        <f>+H13*Data!G$34</f>
        <v>0</v>
      </c>
    </row>
    <row r="89" spans="1:12" s="2" customFormat="1">
      <c r="A89" s="3"/>
      <c r="B89" s="128"/>
      <c r="C89" s="135"/>
      <c r="D89" s="135"/>
      <c r="E89" s="135"/>
      <c r="F89" s="135"/>
      <c r="G89" s="135"/>
      <c r="H89" s="135"/>
      <c r="I89" s="135"/>
      <c r="J89" s="135"/>
      <c r="K89" s="135"/>
      <c r="L89" s="135"/>
    </row>
    <row r="90" spans="1:12" s="2" customFormat="1">
      <c r="A90" s="3"/>
      <c r="B90" s="128"/>
      <c r="C90" s="538" t="s">
        <v>397</v>
      </c>
      <c r="D90" s="541" t="str">
        <f t="shared" ref="D90:K90" si="30">IF($C62=$B$33,D$6,IF(D$6-RIGHT($C62,1)&lt;$D$6,"Pre-RIIO",D$6-RIGHT($C62,1)))</f>
        <v>Pre-RIIO</v>
      </c>
      <c r="E90" s="542" t="str">
        <f t="shared" si="30"/>
        <v>Pre-RIIO</v>
      </c>
      <c r="F90" s="542">
        <f t="shared" si="30"/>
        <v>2016</v>
      </c>
      <c r="G90" s="542">
        <f t="shared" si="30"/>
        <v>2017</v>
      </c>
      <c r="H90" s="542">
        <f t="shared" si="30"/>
        <v>2018</v>
      </c>
      <c r="I90" s="542">
        <f t="shared" si="30"/>
        <v>2019</v>
      </c>
      <c r="J90" s="542">
        <f t="shared" si="30"/>
        <v>2020</v>
      </c>
      <c r="K90" s="543">
        <f t="shared" si="30"/>
        <v>2021</v>
      </c>
    </row>
    <row r="91" spans="1:12" s="2" customFormat="1">
      <c r="A91" s="3" t="str">
        <f>A14</f>
        <v>d</v>
      </c>
      <c r="B91" s="128" t="str">
        <f>B14&amp;""</f>
        <v>Time to Connect Incentive</v>
      </c>
      <c r="C91" s="135" t="s">
        <v>128</v>
      </c>
      <c r="D91" s="635">
        <v>0</v>
      </c>
      <c r="E91" s="636">
        <v>0</v>
      </c>
      <c r="F91" s="636">
        <v>0.48467078491876997</v>
      </c>
      <c r="G91" s="636">
        <v>0.72333570000000003</v>
      </c>
      <c r="H91" s="614">
        <f>+F14*Data!E$34</f>
        <v>0.83357206580157361</v>
      </c>
      <c r="I91" s="614">
        <f>+G14*Data!F$34</f>
        <v>0.91010560130785745</v>
      </c>
      <c r="J91" s="614">
        <f>+H14*Data!G$34</f>
        <v>0.95029569837539596</v>
      </c>
      <c r="K91" s="614">
        <f>+I14*Data!H$34</f>
        <v>0.95327061964424764</v>
      </c>
    </row>
    <row r="92" spans="1:12" s="2" customFormat="1">
      <c r="A92" s="3"/>
      <c r="B92" s="128"/>
      <c r="C92" s="135"/>
      <c r="D92" s="135"/>
      <c r="E92" s="135"/>
      <c r="F92" s="135"/>
      <c r="G92" s="135"/>
      <c r="H92" s="135"/>
      <c r="I92" s="135"/>
      <c r="J92" s="135"/>
      <c r="K92" s="135"/>
      <c r="L92" s="135"/>
    </row>
    <row r="93" spans="1:12" s="2" customFormat="1">
      <c r="A93" s="3"/>
      <c r="B93" s="128"/>
      <c r="C93" s="538" t="s">
        <v>397</v>
      </c>
      <c r="D93" s="541" t="str">
        <f>IF($C66=$B$33,D$6,IF(D$6-RIGHT($C66,1)&lt;$D$6,"Pre-RIIO",D$6-RIGHT($C66,1)))</f>
        <v>Pre-RIIO</v>
      </c>
      <c r="E93" s="542">
        <f t="shared" ref="E93:K93" si="31">IF($C66=$B$33,E$6,IF(E$6-RIGHT($C66,1)&lt;$D$6,"Pre-RIIO",E$6-RIGHT($C66,1)))</f>
        <v>2016</v>
      </c>
      <c r="F93" s="542">
        <f t="shared" si="31"/>
        <v>2017</v>
      </c>
      <c r="G93" s="542">
        <f t="shared" si="31"/>
        <v>2018</v>
      </c>
      <c r="H93" s="542">
        <f t="shared" si="31"/>
        <v>2019</v>
      </c>
      <c r="I93" s="542">
        <f t="shared" si="31"/>
        <v>2020</v>
      </c>
      <c r="J93" s="542">
        <f t="shared" si="31"/>
        <v>2021</v>
      </c>
      <c r="K93" s="543">
        <f t="shared" si="31"/>
        <v>2022</v>
      </c>
    </row>
    <row r="94" spans="1:12" s="2" customFormat="1">
      <c r="A94" s="3" t="str">
        <f>A15</f>
        <v>e</v>
      </c>
      <c r="B94" s="128" t="str">
        <f>B15&amp;""</f>
        <v>Losses discretionary reward scheme</v>
      </c>
      <c r="C94" s="135" t="s">
        <v>128</v>
      </c>
      <c r="D94" s="635">
        <v>0</v>
      </c>
      <c r="E94" s="636">
        <v>0</v>
      </c>
      <c r="F94" s="636">
        <v>4.4839999999999998E-2</v>
      </c>
      <c r="G94" s="636">
        <v>0</v>
      </c>
      <c r="H94" s="614">
        <f>+G15*Data!F$34</f>
        <v>0</v>
      </c>
      <c r="I94" s="614">
        <f>+H15*Data!G$34</f>
        <v>0</v>
      </c>
      <c r="J94" s="614">
        <f>+I15*Data!H$34</f>
        <v>0</v>
      </c>
      <c r="K94" s="614">
        <f>+J15*Data!I$34</f>
        <v>0</v>
      </c>
    </row>
    <row r="95" spans="1:12" s="2" customFormat="1">
      <c r="A95" s="3"/>
      <c r="B95" s="128"/>
      <c r="C95" s="135"/>
      <c r="D95" s="135"/>
      <c r="E95" s="135"/>
      <c r="F95" s="135"/>
      <c r="G95" s="135"/>
      <c r="H95" s="135"/>
      <c r="I95" s="135"/>
      <c r="J95" s="135"/>
      <c r="K95" s="135"/>
      <c r="L95" s="135"/>
    </row>
    <row r="96" spans="1:12" s="2" customFormat="1">
      <c r="A96" s="3"/>
      <c r="B96" s="128"/>
      <c r="C96" s="538" t="s">
        <v>397</v>
      </c>
      <c r="D96" s="541" t="str">
        <f>IF($C70=$B$33,D$6,IF(D$6-RIGHT($C70,1)&lt;$D$6,"Pre-RIIO",D$6-RIGHT($C70,1)))</f>
        <v>Pre-RIIO</v>
      </c>
      <c r="E96" s="541">
        <f t="shared" ref="E96:K96" si="32">IF($C70=$B$33,E$6,IF(E$6-RIGHT($C70,1)&lt;$D$6,"Pre-RIIO",E$6-RIGHT($C70,1)))</f>
        <v>2016</v>
      </c>
      <c r="F96" s="541">
        <f t="shared" si="32"/>
        <v>2017</v>
      </c>
      <c r="G96" s="541">
        <f t="shared" si="32"/>
        <v>2018</v>
      </c>
      <c r="H96" s="541">
        <f t="shared" si="32"/>
        <v>2019</v>
      </c>
      <c r="I96" s="541">
        <f t="shared" si="32"/>
        <v>2020</v>
      </c>
      <c r="J96" s="541">
        <f t="shared" si="32"/>
        <v>2021</v>
      </c>
      <c r="K96" s="541">
        <f t="shared" si="32"/>
        <v>2022</v>
      </c>
    </row>
    <row r="97" spans="1:13" s="2" customFormat="1">
      <c r="A97" s="3" t="str">
        <f>A16</f>
        <v>f</v>
      </c>
      <c r="B97" s="128" t="str">
        <f>B16&amp;""</f>
        <v/>
      </c>
      <c r="C97" s="135" t="s">
        <v>128</v>
      </c>
      <c r="D97" s="635"/>
      <c r="E97" s="636"/>
      <c r="F97" s="636"/>
      <c r="G97" s="636"/>
      <c r="H97" s="614"/>
      <c r="I97" s="614"/>
      <c r="J97" s="614"/>
      <c r="K97" s="614"/>
    </row>
    <row r="98" spans="1:13" s="2" customFormat="1">
      <c r="A98" s="3"/>
      <c r="B98" s="128"/>
      <c r="C98" s="135"/>
      <c r="D98" s="135"/>
      <c r="E98" s="135"/>
      <c r="F98" s="135"/>
      <c r="G98" s="135"/>
      <c r="H98" s="135"/>
      <c r="I98" s="135"/>
      <c r="J98" s="135"/>
      <c r="K98" s="135"/>
      <c r="L98" s="135"/>
    </row>
    <row r="99" spans="1:13" s="2" customFormat="1">
      <c r="A99" s="3"/>
      <c r="B99" s="128"/>
      <c r="C99" s="538" t="s">
        <v>397</v>
      </c>
      <c r="D99" s="541" t="str">
        <f>IF($C74=$B$33,D$6,IF(D$6-RIGHT($C74,1)&lt;$D$6,"Pre-RIIO",D$6-RIGHT($C74,1)))</f>
        <v>Pre-RIIO</v>
      </c>
      <c r="E99" s="541">
        <f t="shared" ref="E99:K99" si="33">IF($C74=$B$33,E$6,IF(E$6-RIGHT($C74,1)&lt;$D$6,"Pre-RIIO",E$6-RIGHT($C74,1)))</f>
        <v>2016</v>
      </c>
      <c r="F99" s="541">
        <f t="shared" si="33"/>
        <v>2017</v>
      </c>
      <c r="G99" s="541">
        <f t="shared" si="33"/>
        <v>2018</v>
      </c>
      <c r="H99" s="541">
        <f t="shared" si="33"/>
        <v>2019</v>
      </c>
      <c r="I99" s="541">
        <f t="shared" si="33"/>
        <v>2020</v>
      </c>
      <c r="J99" s="541">
        <f t="shared" si="33"/>
        <v>2021</v>
      </c>
      <c r="K99" s="541">
        <f t="shared" si="33"/>
        <v>2022</v>
      </c>
    </row>
    <row r="100" spans="1:13" s="2" customFormat="1">
      <c r="A100" s="3" t="str">
        <f>A17</f>
        <v>g</v>
      </c>
      <c r="B100" s="128" t="str">
        <f>B17&amp;""</f>
        <v/>
      </c>
      <c r="C100" s="135" t="s">
        <v>128</v>
      </c>
      <c r="D100" s="635"/>
      <c r="E100" s="636"/>
      <c r="F100" s="636"/>
      <c r="G100" s="636"/>
      <c r="H100" s="614"/>
      <c r="I100" s="614"/>
      <c r="J100" s="614"/>
      <c r="K100" s="614"/>
    </row>
    <row r="101" spans="1:13" s="2" customFormat="1">
      <c r="A101" s="3"/>
      <c r="B101" s="128"/>
      <c r="C101" s="135"/>
      <c r="D101" s="135"/>
      <c r="E101" s="135"/>
      <c r="F101" s="135"/>
      <c r="G101" s="135"/>
      <c r="H101" s="135"/>
      <c r="I101" s="135"/>
      <c r="J101" s="135"/>
      <c r="K101" s="135"/>
      <c r="L101" s="135"/>
      <c r="M101" s="135"/>
    </row>
    <row r="102" spans="1:13" s="2" customFormat="1">
      <c r="B102" s="12" t="s">
        <v>158</v>
      </c>
      <c r="C102" s="156" t="s">
        <v>128</v>
      </c>
      <c r="D102" s="607">
        <f>SUM(D82,D85,D88,D91,D94,D97,D100)</f>
        <v>6.3768655592999988</v>
      </c>
      <c r="E102" s="607">
        <f t="shared" ref="E102:K102" si="34">SUM(E82,E85,E88,E91,E94,E97,E100)</f>
        <v>6.3824136960794364</v>
      </c>
      <c r="F102" s="607">
        <f t="shared" si="34"/>
        <v>8.489102325617857</v>
      </c>
      <c r="G102" s="607">
        <f t="shared" si="34"/>
        <v>9.2338242356814355</v>
      </c>
      <c r="H102" s="608">
        <f>SUM(H82,H85,H88,H91,H94,H97,H100)</f>
        <v>7.1483228476707845</v>
      </c>
      <c r="I102" s="608">
        <f t="shared" si="34"/>
        <v>10.277975663082699</v>
      </c>
      <c r="J102" s="608">
        <f t="shared" si="34"/>
        <v>10.263001004170777</v>
      </c>
      <c r="K102" s="608">
        <f t="shared" si="34"/>
        <v>9.0186880322115037</v>
      </c>
    </row>
    <row r="103" spans="1:13" s="2" customFormat="1">
      <c r="C103" s="135"/>
    </row>
    <row r="104" spans="1:13" s="2" customFormat="1">
      <c r="A104" s="35"/>
      <c r="B104" s="12" t="s">
        <v>372</v>
      </c>
      <c r="C104" s="155"/>
      <c r="D104" s="155"/>
      <c r="E104" s="155"/>
      <c r="F104" s="155"/>
      <c r="G104" s="155"/>
      <c r="H104" s="155"/>
      <c r="I104" s="155"/>
      <c r="J104" s="155"/>
      <c r="K104" s="155"/>
      <c r="L104" s="155"/>
      <c r="M104" s="155"/>
    </row>
    <row r="105" spans="1:13" s="2" customFormat="1">
      <c r="A105" s="268" t="str">
        <f>A82</f>
        <v>a</v>
      </c>
      <c r="B105" s="1008" t="str">
        <f>+B21</f>
        <v>The 2019/20 SECV incentive reward is still to be assessed by Ofgem and therefore the 2020 Actuals has been forecast on the prior 3 year average.</v>
      </c>
      <c r="C105" s="1008"/>
      <c r="D105" s="1008"/>
      <c r="E105" s="1008"/>
      <c r="F105" s="1008"/>
      <c r="G105" s="1008"/>
      <c r="H105" s="1008"/>
      <c r="I105" s="1008"/>
      <c r="J105" s="1008"/>
      <c r="K105" s="1008"/>
      <c r="L105" s="1008"/>
      <c r="M105" s="1008"/>
    </row>
    <row r="106" spans="1:13" s="2" customFormat="1">
      <c r="A106" s="268" t="str">
        <f>A85</f>
        <v>b</v>
      </c>
      <c r="B106" s="1008"/>
      <c r="C106" s="1008"/>
      <c r="D106" s="1008"/>
      <c r="E106" s="1008"/>
      <c r="F106" s="1008"/>
      <c r="G106" s="1008"/>
      <c r="H106" s="1008"/>
      <c r="I106" s="1008"/>
      <c r="J106" s="1008"/>
      <c r="K106" s="1008"/>
      <c r="L106" s="1008"/>
      <c r="M106" s="1008"/>
    </row>
    <row r="107" spans="1:13" s="2" customFormat="1">
      <c r="A107" s="268" t="str">
        <f>A88</f>
        <v>c</v>
      </c>
      <c r="B107" s="1008"/>
      <c r="C107" s="1008"/>
      <c r="D107" s="1008"/>
      <c r="E107" s="1008"/>
      <c r="F107" s="1008"/>
      <c r="G107" s="1008"/>
      <c r="H107" s="1008"/>
      <c r="I107" s="1008"/>
      <c r="J107" s="1008"/>
      <c r="K107" s="1008"/>
      <c r="L107" s="1008"/>
      <c r="M107" s="1008"/>
    </row>
    <row r="108" spans="1:13" s="2" customFormat="1">
      <c r="A108" s="268" t="str">
        <f>A91</f>
        <v>d</v>
      </c>
      <c r="B108" s="1008"/>
      <c r="C108" s="1008"/>
      <c r="D108" s="1008"/>
      <c r="E108" s="1008"/>
      <c r="F108" s="1008"/>
      <c r="G108" s="1008"/>
      <c r="H108" s="1008"/>
      <c r="I108" s="1008"/>
      <c r="J108" s="1008"/>
      <c r="K108" s="1008"/>
      <c r="L108" s="1008"/>
      <c r="M108" s="1008"/>
    </row>
    <row r="109" spans="1:13" s="2" customFormat="1">
      <c r="A109" s="268" t="str">
        <f>A94</f>
        <v>e</v>
      </c>
      <c r="B109" s="1008"/>
      <c r="C109" s="1008"/>
      <c r="D109" s="1008"/>
      <c r="E109" s="1008"/>
      <c r="F109" s="1008"/>
      <c r="G109" s="1008"/>
      <c r="H109" s="1008"/>
      <c r="I109" s="1008"/>
      <c r="J109" s="1008"/>
      <c r="K109" s="1008"/>
      <c r="L109" s="1008"/>
      <c r="M109" s="1008"/>
    </row>
    <row r="110" spans="1:13" s="2" customFormat="1">
      <c r="A110" s="268" t="str">
        <f>A97</f>
        <v>f</v>
      </c>
      <c r="B110" s="1008"/>
      <c r="C110" s="1008"/>
      <c r="D110" s="1008"/>
      <c r="E110" s="1008"/>
      <c r="F110" s="1008"/>
      <c r="G110" s="1008"/>
      <c r="H110" s="1008"/>
      <c r="I110" s="1008"/>
      <c r="J110" s="1008"/>
      <c r="K110" s="1008"/>
      <c r="L110" s="1008"/>
      <c r="M110" s="1008"/>
    </row>
    <row r="111" spans="1:13" s="2" customFormat="1">
      <c r="A111" s="268" t="str">
        <f>A100</f>
        <v>g</v>
      </c>
      <c r="B111" s="1008"/>
      <c r="C111" s="1008"/>
      <c r="D111" s="1008"/>
      <c r="E111" s="1008"/>
      <c r="F111" s="1008"/>
      <c r="G111" s="1008"/>
      <c r="H111" s="1008"/>
      <c r="I111" s="1008"/>
      <c r="J111" s="1008"/>
      <c r="K111" s="1008"/>
      <c r="L111" s="1008"/>
      <c r="M111" s="1008"/>
    </row>
    <row r="112" spans="1:13" s="530" customFormat="1">
      <c r="A112" s="529"/>
      <c r="C112" s="531"/>
      <c r="D112" s="532"/>
      <c r="E112" s="532"/>
      <c r="F112" s="532"/>
      <c r="G112" s="532"/>
      <c r="H112" s="532"/>
      <c r="I112" s="532"/>
      <c r="J112" s="532"/>
      <c r="K112" s="532"/>
      <c r="L112" s="533"/>
      <c r="M112" s="533"/>
    </row>
    <row r="113" spans="1:14" s="530" customFormat="1">
      <c r="A113" s="529"/>
      <c r="C113" s="531"/>
      <c r="D113" s="531"/>
      <c r="E113" s="531"/>
      <c r="F113" s="531"/>
      <c r="G113" s="531"/>
      <c r="H113" s="531"/>
      <c r="I113" s="531"/>
      <c r="J113" s="531"/>
      <c r="K113" s="531"/>
      <c r="L113" s="531"/>
      <c r="M113" s="531"/>
    </row>
    <row r="114" spans="1:14" s="2" customFormat="1">
      <c r="A114" s="81"/>
      <c r="B114" s="81"/>
      <c r="C114" s="149"/>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2" priority="31">
      <formula>AND(D$5="Actuals",E$5="Forecast")</formula>
    </cfRule>
  </conditionalFormatting>
  <conditionalFormatting sqref="D5:K5">
    <cfRule type="expression" dxfId="5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a9306fc-8436-45f0-b931-e34f519be3a3" ContentTypeId="0x010100BEF857C979C03448B587B28C0D359605" PreviousValue="true"/>
</file>

<file path=customXml/item4.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Applicable_x0020_Duration>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4.xml><?xml version="1.0" encoding="utf-8"?>
<ds:datastoreItem xmlns:ds="http://schemas.openxmlformats.org/officeDocument/2006/customXml" ds:itemID="{CC285FE4-1466-4BF7-8FA9-67F63A3D57B8}">
  <ds:schemaRefs>
    <ds:schemaRef ds:uri="http://purl.org/dc/dcmitype/"/>
    <ds:schemaRef ds:uri="631298fc-6a88-4548-b7d9-3b164918c4a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schemas.microsoft.com/office/2006/metadata/properties"/>
    <ds:schemaRef ds:uri="http://www.w3.org/XML/1998/namespace"/>
    <ds:schemaRef ds:uri="http://purl.org/dc/terms/"/>
  </ds:schemaRefs>
</ds:datastoreItem>
</file>

<file path=customXml/itemProps5.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Bartlam, Katherine</cp:lastModifiedBy>
  <cp:lastPrinted>2018-10-02T10:25:02Z</cp:lastPrinted>
  <dcterms:created xsi:type="dcterms:W3CDTF">2018-06-13T08:32:09Z</dcterms:created>
  <dcterms:modified xsi:type="dcterms:W3CDTF">2020-10-13T09:59:26Z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