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ED1 RRPs\RRP 2019 20\RFPR\FOR RESUBMISSION 12102020\FOR WEBSITE\"/>
    </mc:Choice>
  </mc:AlternateContent>
  <bookViews>
    <workbookView xWindow="0" yWindow="0" windowWidth="30720" windowHeight="13236"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5" i="5" l="1"/>
  <c r="H20" i="20" l="1"/>
  <c r="F20" i="20"/>
  <c r="E20" i="20"/>
  <c r="D20" i="20"/>
  <c r="G20" i="20"/>
  <c r="K19" i="20" l="1"/>
  <c r="K20" i="20" s="1"/>
  <c r="J19" i="20"/>
  <c r="J20" i="20" s="1"/>
  <c r="I19" i="20"/>
  <c r="I20" i="20" s="1"/>
  <c r="D24" i="10" l="1"/>
  <c r="D28" i="10"/>
  <c r="E28" i="10"/>
  <c r="D18" i="10"/>
  <c r="B21" i="1" l="1"/>
  <c r="B3" i="1" l="1"/>
  <c r="K21" i="20" l="1"/>
  <c r="J21" i="20"/>
  <c r="I21" i="20"/>
  <c r="H21" i="20"/>
  <c r="G21" i="20"/>
  <c r="F21" i="20"/>
  <c r="E21" i="20"/>
  <c r="D21" i="20"/>
  <c r="K14" i="20"/>
  <c r="K16" i="20" s="1"/>
  <c r="J14" i="20"/>
  <c r="J16" i="20" s="1"/>
  <c r="I14" i="20"/>
  <c r="I16" i="20" s="1"/>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I13" i="11"/>
  <c r="H13" i="11"/>
  <c r="G13" i="11"/>
  <c r="F13" i="11"/>
  <c r="E13" i="11"/>
  <c r="D13" i="11"/>
  <c r="B3" i="11"/>
  <c r="A3" i="11"/>
  <c r="A2" i="11"/>
  <c r="K63" i="29"/>
  <c r="J63" i="29"/>
  <c r="I63" i="29"/>
  <c r="H63" i="29"/>
  <c r="G63" i="29"/>
  <c r="F63" i="29"/>
  <c r="E63" i="29"/>
  <c r="D63" i="29"/>
  <c r="K19" i="29"/>
  <c r="J19" i="29"/>
  <c r="I19" i="29"/>
  <c r="H19" i="29"/>
  <c r="G19" i="29"/>
  <c r="F19" i="29"/>
  <c r="E19" i="29"/>
  <c r="D19" i="29"/>
  <c r="A3" i="29"/>
  <c r="A2" i="29"/>
  <c r="K28" i="10"/>
  <c r="J28" i="10"/>
  <c r="I28" i="10"/>
  <c r="H28" i="10"/>
  <c r="G28" i="10"/>
  <c r="F28" i="10"/>
  <c r="A3" i="10"/>
  <c r="A2" i="10"/>
  <c r="B3" i="27"/>
  <c r="A3" i="27"/>
  <c r="A2" i="27"/>
  <c r="L6" i="17"/>
  <c r="B3" i="17"/>
  <c r="A3" i="17"/>
  <c r="A2" i="17"/>
  <c r="K17" i="3"/>
  <c r="K18" i="4" s="1"/>
  <c r="J17" i="3"/>
  <c r="J18" i="4" s="1"/>
  <c r="I17" i="3"/>
  <c r="I18" i="4" s="1"/>
  <c r="H17" i="3"/>
  <c r="H18" i="4" s="1"/>
  <c r="G17" i="3"/>
  <c r="F17" i="3"/>
  <c r="E17" i="3"/>
  <c r="E18" i="4" s="1"/>
  <c r="D17" i="3"/>
  <c r="H12" i="3"/>
  <c r="H17" i="4" s="1"/>
  <c r="G12" i="3"/>
  <c r="F12" i="3"/>
  <c r="E12" i="3"/>
  <c r="E17" i="4" s="1"/>
  <c r="D12" i="3"/>
  <c r="B3" i="3"/>
  <c r="A3" i="3"/>
  <c r="A2" i="3"/>
  <c r="A111" i="5"/>
  <c r="A110" i="5"/>
  <c r="A109" i="5"/>
  <c r="A108" i="5"/>
  <c r="A107" i="5"/>
  <c r="A106" i="5"/>
  <c r="A105" i="5"/>
  <c r="G102" i="5"/>
  <c r="G15" i="4" s="1"/>
  <c r="F102" i="5"/>
  <c r="F15" i="4" s="1"/>
  <c r="E102" i="5"/>
  <c r="D102" i="5"/>
  <c r="A100" i="5"/>
  <c r="A97" i="5"/>
  <c r="A94" i="5"/>
  <c r="A91" i="5"/>
  <c r="A88" i="5"/>
  <c r="A85" i="5"/>
  <c r="A82" i="5"/>
  <c r="K73" i="5"/>
  <c r="J73" i="5"/>
  <c r="I73" i="5"/>
  <c r="H73" i="5"/>
  <c r="G73" i="5"/>
  <c r="F73" i="5"/>
  <c r="E73" i="5"/>
  <c r="D73" i="5"/>
  <c r="K69" i="5"/>
  <c r="J69" i="5"/>
  <c r="I69" i="5"/>
  <c r="H69" i="5"/>
  <c r="G69" i="5"/>
  <c r="F69" i="5"/>
  <c r="E69" i="5"/>
  <c r="D69" i="5"/>
  <c r="A69" i="5"/>
  <c r="K65" i="5"/>
  <c r="J65" i="5"/>
  <c r="I65" i="5"/>
  <c r="H65" i="5"/>
  <c r="G65" i="5"/>
  <c r="F65" i="5"/>
  <c r="E65" i="5"/>
  <c r="D65" i="5"/>
  <c r="A65" i="5"/>
  <c r="K61" i="5"/>
  <c r="J61" i="5"/>
  <c r="I61" i="5"/>
  <c r="H61" i="5"/>
  <c r="G61" i="5"/>
  <c r="F61" i="5"/>
  <c r="E61" i="5"/>
  <c r="D61" i="5"/>
  <c r="A61" i="5"/>
  <c r="K57" i="5"/>
  <c r="J57" i="5"/>
  <c r="I57" i="5"/>
  <c r="H57" i="5"/>
  <c r="G57" i="5"/>
  <c r="F57" i="5"/>
  <c r="E57" i="5"/>
  <c r="D57" i="5"/>
  <c r="A57" i="5"/>
  <c r="K53" i="5"/>
  <c r="J53" i="5"/>
  <c r="I53" i="5"/>
  <c r="H53" i="5"/>
  <c r="G53" i="5"/>
  <c r="F53" i="5"/>
  <c r="E53" i="5"/>
  <c r="D53" i="5"/>
  <c r="A53" i="5"/>
  <c r="K49" i="5"/>
  <c r="J49" i="5"/>
  <c r="I49" i="5"/>
  <c r="H49" i="5"/>
  <c r="G49" i="5"/>
  <c r="F49" i="5"/>
  <c r="E49" i="5"/>
  <c r="D49" i="5"/>
  <c r="A49" i="5"/>
  <c r="A45" i="5"/>
  <c r="A44" i="5"/>
  <c r="A43" i="5"/>
  <c r="A42" i="5"/>
  <c r="A41" i="5"/>
  <c r="A40" i="5"/>
  <c r="A39" i="5"/>
  <c r="A25" i="5"/>
  <c r="A24" i="5"/>
  <c r="A23" i="5"/>
  <c r="A22" i="5"/>
  <c r="A21"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K28" i="2"/>
  <c r="J28" i="2"/>
  <c r="G28" i="2"/>
  <c r="F28" i="2"/>
  <c r="E28" i="2"/>
  <c r="D28" i="2"/>
  <c r="M27" i="2"/>
  <c r="M26" i="2"/>
  <c r="M25" i="2"/>
  <c r="M23" i="2"/>
  <c r="M22" i="2"/>
  <c r="K16" i="2"/>
  <c r="J16" i="2"/>
  <c r="I16" i="2"/>
  <c r="H16" i="2"/>
  <c r="G16" i="2"/>
  <c r="F16" i="2"/>
  <c r="E16" i="2"/>
  <c r="D16" i="2"/>
  <c r="K14" i="2"/>
  <c r="J14" i="2"/>
  <c r="I14" i="2"/>
  <c r="H14" i="2"/>
  <c r="G14" i="2"/>
  <c r="F14" i="2"/>
  <c r="E14" i="2"/>
  <c r="D14" i="2"/>
  <c r="M13" i="2"/>
  <c r="M12" i="2"/>
  <c r="L6" i="2"/>
  <c r="A3" i="2"/>
  <c r="A2" i="2"/>
  <c r="K80" i="15"/>
  <c r="J80" i="15"/>
  <c r="I80" i="15"/>
  <c r="K78" i="15"/>
  <c r="J78" i="15"/>
  <c r="I78" i="15"/>
  <c r="G78" i="15"/>
  <c r="D78" i="15"/>
  <c r="K48" i="15"/>
  <c r="J48" i="15"/>
  <c r="I48" i="15"/>
  <c r="K46" i="15"/>
  <c r="J46" i="15"/>
  <c r="I46" i="15"/>
  <c r="G46" i="15"/>
  <c r="D46" i="15"/>
  <c r="K23" i="15"/>
  <c r="J23" i="15"/>
  <c r="I23" i="15"/>
  <c r="K18" i="15"/>
  <c r="J18" i="15"/>
  <c r="I18" i="15"/>
  <c r="G18" i="15"/>
  <c r="G23" i="15" s="1"/>
  <c r="F18" i="15"/>
  <c r="F23" i="15" s="1"/>
  <c r="E18" i="15"/>
  <c r="E23" i="15" s="1"/>
  <c r="D18" i="15"/>
  <c r="D23" i="15" s="1"/>
  <c r="A3" i="15"/>
  <c r="A2" i="15"/>
  <c r="K68" i="4"/>
  <c r="J68" i="4"/>
  <c r="I68" i="4"/>
  <c r="K66" i="4"/>
  <c r="J66" i="4"/>
  <c r="I66" i="4"/>
  <c r="K64" i="4"/>
  <c r="J64" i="4"/>
  <c r="I64" i="4"/>
  <c r="G64" i="4"/>
  <c r="F64" i="4"/>
  <c r="E64" i="4"/>
  <c r="D64" i="4"/>
  <c r="K45" i="4"/>
  <c r="J45" i="4"/>
  <c r="I45" i="4"/>
  <c r="H45" i="4"/>
  <c r="G45" i="4"/>
  <c r="G66" i="4" s="1"/>
  <c r="G68" i="4" s="1"/>
  <c r="F45" i="4"/>
  <c r="F66" i="4" s="1"/>
  <c r="F68" i="4" s="1"/>
  <c r="E45" i="4"/>
  <c r="E66" i="4" s="1"/>
  <c r="E68" i="4" s="1"/>
  <c r="D45" i="4"/>
  <c r="D66" i="4" s="1"/>
  <c r="D68" i="4" s="1"/>
  <c r="K28" i="4"/>
  <c r="J28" i="4"/>
  <c r="I28" i="4"/>
  <c r="G18" i="4"/>
  <c r="F18" i="4"/>
  <c r="D18" i="4"/>
  <c r="G17" i="4"/>
  <c r="F17" i="4"/>
  <c r="D17" i="4"/>
  <c r="E15" i="4"/>
  <c r="D15"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B192" i="28"/>
  <c r="E182" i="28"/>
  <c r="B182" i="28"/>
  <c r="F159" i="28"/>
  <c r="F158" i="28"/>
  <c r="F157"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I43" i="28"/>
  <c r="H43" i="28"/>
  <c r="J42" i="28"/>
  <c r="I42" i="28"/>
  <c r="H42" i="28"/>
  <c r="G42" i="28"/>
  <c r="F42" i="28"/>
  <c r="E42" i="28"/>
  <c r="J38" i="28"/>
  <c r="I38" i="28"/>
  <c r="H38" i="28"/>
  <c r="G38" i="28"/>
  <c r="F38" i="28"/>
  <c r="E38" i="28"/>
  <c r="D30" i="28"/>
  <c r="D29" i="28"/>
  <c r="D28" i="28"/>
  <c r="D27" i="28"/>
  <c r="D26" i="28"/>
  <c r="D25" i="28"/>
  <c r="F25" i="28"/>
  <c r="D24" i="28"/>
  <c r="D23" i="28"/>
  <c r="D22" i="28"/>
  <c r="D21" i="28"/>
  <c r="D20" i="28"/>
  <c r="D19" i="28"/>
  <c r="D18" i="28"/>
  <c r="D17" i="28"/>
  <c r="D16" i="28"/>
  <c r="D15" i="28"/>
  <c r="D14" i="28"/>
  <c r="A3" i="28"/>
  <c r="A2" i="28"/>
  <c r="C14" i="13"/>
  <c r="C42" i="2" s="1"/>
  <c r="C13" i="13"/>
  <c r="D6" i="15" s="1"/>
  <c r="C12" i="13"/>
  <c r="C11" i="13"/>
  <c r="C10" i="13"/>
  <c r="C6" i="13"/>
  <c r="E156" i="28" s="1"/>
  <c r="A3" i="13"/>
  <c r="A2" i="13"/>
  <c r="K31" i="2" l="1"/>
  <c r="D26" i="4"/>
  <c r="D28" i="4" s="1"/>
  <c r="G26" i="4"/>
  <c r="G28" i="4" s="1"/>
  <c r="M61" i="5"/>
  <c r="F26" i="4"/>
  <c r="F28" i="4" s="1"/>
  <c r="E26" i="4"/>
  <c r="E28" i="4" s="1"/>
  <c r="M18" i="5"/>
  <c r="E31" i="2"/>
  <c r="M65" i="5"/>
  <c r="M69" i="5"/>
  <c r="M73" i="5"/>
  <c r="M49" i="5"/>
  <c r="M53" i="5"/>
  <c r="M57" i="5"/>
  <c r="M14" i="2"/>
  <c r="D19" i="2"/>
  <c r="F31" i="2"/>
  <c r="G19" i="2"/>
  <c r="J18" i="2"/>
  <c r="G48" i="15"/>
  <c r="D48" i="15"/>
  <c r="D80" i="15" s="1"/>
  <c r="I59" i="2"/>
  <c r="K46" i="2"/>
  <c r="G18" i="2"/>
  <c r="K18" i="2"/>
  <c r="G30" i="2"/>
  <c r="F47" i="2"/>
  <c r="G31" i="2"/>
  <c r="E46" i="2"/>
  <c r="E62" i="2" s="1"/>
  <c r="I46" i="2"/>
  <c r="I62" i="2" s="1"/>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s="1"/>
  <c r="D6" i="27"/>
  <c r="D6" i="11"/>
  <c r="D6" i="29"/>
  <c r="D5" i="29" s="1"/>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B153" i="28" s="1"/>
  <c r="E155" i="28"/>
  <c r="C52" i="1"/>
  <c r="C57" i="1"/>
  <c r="D30" i="2"/>
  <c r="D31" i="2"/>
  <c r="D18" i="2"/>
  <c r="H18" i="2"/>
  <c r="C18" i="2"/>
  <c r="H19" i="2"/>
  <c r="C24" i="2"/>
  <c r="C27" i="2"/>
  <c r="E19" i="2"/>
  <c r="I19" i="2"/>
  <c r="G58" i="2"/>
  <c r="G59" i="2"/>
  <c r="K58" i="2"/>
  <c r="K59" i="2"/>
  <c r="K63" i="2" s="1"/>
  <c r="G46" i="2"/>
  <c r="G47" i="2"/>
  <c r="E18" i="2"/>
  <c r="I18" i="2"/>
  <c r="F19" i="2"/>
  <c r="J19" i="2"/>
  <c r="E30" i="2"/>
  <c r="J30" i="2"/>
  <c r="J31" i="2"/>
  <c r="D59" i="2"/>
  <c r="D46" i="2"/>
  <c r="H59" i="2"/>
  <c r="H46" i="2"/>
  <c r="H62" i="2" s="1"/>
  <c r="H47" i="2"/>
  <c r="F18" i="2"/>
  <c r="K19" i="2"/>
  <c r="F30" i="2"/>
  <c r="K30" i="2"/>
  <c r="D47" i="2"/>
  <c r="D58" i="2"/>
  <c r="E47" i="2"/>
  <c r="I47" i="2"/>
  <c r="I63" i="2" s="1"/>
  <c r="E25" i="28"/>
  <c r="F26" i="28"/>
  <c r="K35" i="2" l="1"/>
  <c r="K70" i="2" s="1"/>
  <c r="F35" i="2"/>
  <c r="E35" i="2"/>
  <c r="G35" i="2"/>
  <c r="J34" i="2"/>
  <c r="D50" i="15"/>
  <c r="G80" i="15"/>
  <c r="G63" i="2"/>
  <c r="G62" i="2"/>
  <c r="G64" i="2" s="1"/>
  <c r="K62" i="2"/>
  <c r="G34" i="2"/>
  <c r="K34" i="2"/>
  <c r="I64" i="2"/>
  <c r="J35" i="2"/>
  <c r="F63" i="2"/>
  <c r="M58" i="2"/>
  <c r="M59" i="2"/>
  <c r="E63" i="2"/>
  <c r="E64" i="2" s="1"/>
  <c r="D78" i="2"/>
  <c r="E6" i="2"/>
  <c r="D5" i="2"/>
  <c r="D77" i="2"/>
  <c r="E6" i="27"/>
  <c r="D5" i="27"/>
  <c r="D5" i="20"/>
  <c r="E6" i="20"/>
  <c r="F6" i="15"/>
  <c r="E5" i="15"/>
  <c r="K49" i="1"/>
  <c r="F34" i="2"/>
  <c r="D5" i="1"/>
  <c r="E6" i="1"/>
  <c r="E6" i="29"/>
  <c r="E5" i="29" s="1"/>
  <c r="D22" i="29"/>
  <c r="E6" i="10"/>
  <c r="E5" i="10" s="1"/>
  <c r="D40" i="10"/>
  <c r="D43" i="10" s="1"/>
  <c r="D36" i="10"/>
  <c r="D63" i="2"/>
  <c r="M47" i="2"/>
  <c r="D34" i="2"/>
  <c r="M18" i="2"/>
  <c r="H63" i="2"/>
  <c r="D62" i="2"/>
  <c r="M46" i="2"/>
  <c r="E34" i="2"/>
  <c r="B159" i="28"/>
  <c r="B17" i="5" s="1"/>
  <c r="B160" i="28"/>
  <c r="B156" i="28"/>
  <c r="B14" i="5" s="1"/>
  <c r="B157" i="28"/>
  <c r="B15" i="5" s="1"/>
  <c r="B154" i="28"/>
  <c r="B12" i="5" s="1"/>
  <c r="B155" i="28"/>
  <c r="B13" i="5" s="1"/>
  <c r="B158" i="28"/>
  <c r="B16" i="5" s="1"/>
  <c r="B11" i="5"/>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D5" i="17"/>
  <c r="E6" i="11"/>
  <c r="D5" i="11"/>
  <c r="D5" i="19"/>
  <c r="E6" i="19"/>
  <c r="D33" i="28"/>
  <c r="C36" i="28"/>
  <c r="C35" i="28"/>
  <c r="D34" i="10" s="1"/>
  <c r="C34" i="28"/>
  <c r="C32" i="28"/>
  <c r="D35" i="2"/>
  <c r="E26" i="28"/>
  <c r="F27" i="28"/>
  <c r="E5" i="17"/>
  <c r="F6" i="17"/>
  <c r="K36" i="2" l="1"/>
  <c r="F70" i="2"/>
  <c r="G70" i="2"/>
  <c r="G49" i="1"/>
  <c r="G36" i="2"/>
  <c r="J36" i="2"/>
  <c r="K69" i="2"/>
  <c r="K71" i="2" s="1"/>
  <c r="G69" i="2"/>
  <c r="K64" i="2"/>
  <c r="J70" i="2"/>
  <c r="F64" i="2"/>
  <c r="F49" i="1"/>
  <c r="E49" i="1"/>
  <c r="J64" i="2"/>
  <c r="E70" i="2"/>
  <c r="D79" i="2"/>
  <c r="D50" i="1" s="1"/>
  <c r="D70" i="2"/>
  <c r="D49" i="1"/>
  <c r="D42" i="5"/>
  <c r="D41" i="5"/>
  <c r="B49" i="5"/>
  <c r="B82" i="5"/>
  <c r="B39" i="5"/>
  <c r="B51" i="1" s="1"/>
  <c r="B94" i="5"/>
  <c r="B65" i="5"/>
  <c r="B43" i="5"/>
  <c r="B55" i="1" s="1"/>
  <c r="M63" i="2"/>
  <c r="E78" i="2"/>
  <c r="E77" i="2"/>
  <c r="E5" i="2"/>
  <c r="F6" i="2"/>
  <c r="E33" i="28"/>
  <c r="D36" i="28"/>
  <c r="D35" i="28"/>
  <c r="E34" i="10" s="1"/>
  <c r="D34" i="28"/>
  <c r="D32" i="28"/>
  <c r="F6" i="11"/>
  <c r="E5" i="11"/>
  <c r="F6" i="4"/>
  <c r="E5" i="4"/>
  <c r="B97" i="5"/>
  <c r="B44" i="5"/>
  <c r="B69" i="5"/>
  <c r="B91" i="5"/>
  <c r="B61" i="5"/>
  <c r="B42" i="5"/>
  <c r="B54" i="1" s="1"/>
  <c r="M62" i="2"/>
  <c r="D64" i="2"/>
  <c r="D69" i="2"/>
  <c r="D36" i="2"/>
  <c r="F6" i="29"/>
  <c r="F5" i="29" s="1"/>
  <c r="E22" i="29"/>
  <c r="H64" i="2"/>
  <c r="J69" i="2"/>
  <c r="D35" i="10"/>
  <c r="D40" i="29"/>
  <c r="D8" i="20"/>
  <c r="D57" i="1" s="1"/>
  <c r="D14" i="19"/>
  <c r="D86" i="2"/>
  <c r="D90" i="2" s="1"/>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F6" i="10"/>
  <c r="F5" i="10" s="1"/>
  <c r="F6" i="1"/>
  <c r="E5" i="1"/>
  <c r="G6" i="15"/>
  <c r="F5" i="15"/>
  <c r="E5" i="27"/>
  <c r="F6" i="27"/>
  <c r="J49" i="1"/>
  <c r="D45" i="5"/>
  <c r="D44" i="5"/>
  <c r="D39" i="5"/>
  <c r="F6" i="3"/>
  <c r="E5" i="3"/>
  <c r="B85" i="5"/>
  <c r="B40" i="5"/>
  <c r="B52" i="1" s="1"/>
  <c r="B53" i="5"/>
  <c r="B100" i="5"/>
  <c r="B73" i="5"/>
  <c r="B45" i="5"/>
  <c r="E36" i="2"/>
  <c r="E69" i="2"/>
  <c r="F69" i="2"/>
  <c r="F36" i="2"/>
  <c r="F6" i="20"/>
  <c r="E5" i="20"/>
  <c r="E27" i="28"/>
  <c r="G6" i="17"/>
  <c r="F5" i="17"/>
  <c r="F71" i="2" l="1"/>
  <c r="H88" i="5"/>
  <c r="G71" i="2"/>
  <c r="J71" i="2"/>
  <c r="E71" i="2"/>
  <c r="B33" i="1"/>
  <c r="B14" i="1"/>
  <c r="D46" i="5"/>
  <c r="D51" i="1"/>
  <c r="G6" i="19"/>
  <c r="F5" i="19"/>
  <c r="G6" i="4"/>
  <c r="F5" i="4"/>
  <c r="E8" i="20"/>
  <c r="E57" i="1" s="1"/>
  <c r="E35" i="10"/>
  <c r="E14" i="19"/>
  <c r="E40" i="29"/>
  <c r="E86" i="2"/>
  <c r="E28" i="3"/>
  <c r="E56" i="1" s="1"/>
  <c r="E79" i="2"/>
  <c r="B36" i="1"/>
  <c r="B17" i="1"/>
  <c r="D53" i="1"/>
  <c r="D55" i="1"/>
  <c r="D52" i="1"/>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131" i="2"/>
  <c r="D100" i="2"/>
  <c r="D130" i="2"/>
  <c r="D132" i="2"/>
  <c r="D103" i="2"/>
  <c r="D91" i="2"/>
  <c r="D118" i="2"/>
  <c r="D104" i="2"/>
  <c r="D128" i="2"/>
  <c r="D133" i="2"/>
  <c r="D102" i="2"/>
  <c r="D101" i="2"/>
  <c r="D105" i="2"/>
  <c r="D129" i="2"/>
  <c r="D23" i="29"/>
  <c r="D71" i="2"/>
  <c r="F5" i="11"/>
  <c r="G6" i="11"/>
  <c r="G6" i="3"/>
  <c r="F5" i="3"/>
  <c r="G6" i="27"/>
  <c r="F5" i="27"/>
  <c r="G6" i="10"/>
  <c r="G5" i="10" s="1"/>
  <c r="F40" i="10"/>
  <c r="F43" i="10" s="1"/>
  <c r="E46" i="5"/>
  <c r="E51" i="1"/>
  <c r="G6" i="29"/>
  <c r="G5" i="29" s="1"/>
  <c r="F22" i="29"/>
  <c r="M64" i="2"/>
  <c r="E36" i="28"/>
  <c r="E35" i="28"/>
  <c r="F34" i="10" s="1"/>
  <c r="E34" i="28"/>
  <c r="E32" i="28"/>
  <c r="F33" i="28"/>
  <c r="B32" i="1"/>
  <c r="B13" i="1"/>
  <c r="D54" i="1"/>
  <c r="G5" i="17"/>
  <c r="H6" i="17"/>
  <c r="H5" i="17" s="1"/>
  <c r="I88" i="5" l="1"/>
  <c r="H91" i="5"/>
  <c r="H82" i="5"/>
  <c r="E23" i="29"/>
  <c r="F14" i="19"/>
  <c r="F35" i="10"/>
  <c r="F8" i="20"/>
  <c r="F57" i="1" s="1"/>
  <c r="F86" i="2"/>
  <c r="F28" i="3"/>
  <c r="F56" i="1" s="1"/>
  <c r="F40" i="29"/>
  <c r="H6" i="3"/>
  <c r="G5" i="3"/>
  <c r="D120" i="2"/>
  <c r="I6" i="15"/>
  <c r="H5" i="15"/>
  <c r="H6" i="19"/>
  <c r="G5" i="19"/>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H6" i="4"/>
  <c r="G5" i="4"/>
  <c r="G33" i="28"/>
  <c r="F36" i="28"/>
  <c r="F35" i="28"/>
  <c r="G34" i="10" s="1"/>
  <c r="F34" i="28"/>
  <c r="H94" i="5" s="1"/>
  <c r="F32" i="28"/>
  <c r="G22" i="29"/>
  <c r="H6" i="29"/>
  <c r="H5" i="29" s="1"/>
  <c r="H6" i="27"/>
  <c r="G5" i="27"/>
  <c r="H6" i="11"/>
  <c r="G5" i="11"/>
  <c r="D134" i="2"/>
  <c r="H6" i="20"/>
  <c r="G5" i="20"/>
  <c r="G77" i="2"/>
  <c r="G78" i="2"/>
  <c r="H6" i="2"/>
  <c r="G5" i="2"/>
  <c r="E102" i="2"/>
  <c r="E119" i="2"/>
  <c r="E105" i="2"/>
  <c r="E90" i="2"/>
  <c r="E101" i="2"/>
  <c r="E128" i="2"/>
  <c r="E131" i="2"/>
  <c r="E100" i="2"/>
  <c r="E130" i="2"/>
  <c r="E132" i="2"/>
  <c r="E103" i="2"/>
  <c r="E91" i="2"/>
  <c r="E118" i="2"/>
  <c r="E104" i="2"/>
  <c r="E133" i="2"/>
  <c r="E129" i="2"/>
  <c r="H6" i="10"/>
  <c r="H5" i="10" s="1"/>
  <c r="H32" i="10" s="1"/>
  <c r="G40" i="10"/>
  <c r="G43" i="10" s="1"/>
  <c r="D81" i="15"/>
  <c r="D82" i="15"/>
  <c r="F39" i="5"/>
  <c r="F44" i="5"/>
  <c r="H6" i="1"/>
  <c r="G5" i="1"/>
  <c r="E50" i="1"/>
  <c r="I6" i="17"/>
  <c r="J88" i="5" l="1"/>
  <c r="I82" i="5"/>
  <c r="I91" i="5"/>
  <c r="E92" i="2"/>
  <c r="E96" i="2" s="1"/>
  <c r="E120" i="2"/>
  <c r="E125" i="2" s="1"/>
  <c r="G79" i="2"/>
  <c r="G50" i="1" s="1"/>
  <c r="F46" i="5"/>
  <c r="F51" i="1"/>
  <c r="H5" i="1"/>
  <c r="I6" i="1"/>
  <c r="I6" i="10"/>
  <c r="I5" i="10" s="1"/>
  <c r="H40" i="10"/>
  <c r="H43" i="10" s="1"/>
  <c r="E106" i="2"/>
  <c r="E81" i="15"/>
  <c r="G14" i="19"/>
  <c r="G28" i="3"/>
  <c r="G56" i="1" s="1"/>
  <c r="G86" i="2"/>
  <c r="G35" i="10"/>
  <c r="G8" i="20"/>
  <c r="G57" i="1" s="1"/>
  <c r="G40" i="29"/>
  <c r="H5" i="4"/>
  <c r="I6" i="4"/>
  <c r="D109" i="2"/>
  <c r="D108" i="2"/>
  <c r="J6" i="15"/>
  <c r="I5" i="15"/>
  <c r="I6" i="27"/>
  <c r="H5" i="27"/>
  <c r="G40" i="5"/>
  <c r="G46" i="5" s="1"/>
  <c r="D97" i="2"/>
  <c r="D96" i="2"/>
  <c r="H5" i="3"/>
  <c r="I6" i="3"/>
  <c r="H5" i="19"/>
  <c r="I6" i="19"/>
  <c r="F103" i="2"/>
  <c r="F128" i="2"/>
  <c r="F133" i="2"/>
  <c r="F102" i="2"/>
  <c r="F129" i="2"/>
  <c r="F119" i="2"/>
  <c r="F101" i="2"/>
  <c r="F118" i="2"/>
  <c r="F105" i="2"/>
  <c r="F90" i="2"/>
  <c r="F100" i="2"/>
  <c r="F130" i="2"/>
  <c r="F132" i="2"/>
  <c r="F131" i="2"/>
  <c r="F91" i="2"/>
  <c r="F104" i="2"/>
  <c r="E134" i="2"/>
  <c r="D136" i="2"/>
  <c r="D137" i="2"/>
  <c r="I6" i="11"/>
  <c r="H5" i="11"/>
  <c r="I6" i="29"/>
  <c r="I5" i="29" s="1"/>
  <c r="G51" i="1"/>
  <c r="F23" i="29"/>
  <c r="H78" i="2"/>
  <c r="I6" i="2"/>
  <c r="H77" i="2"/>
  <c r="H5" i="2"/>
  <c r="H5" i="20"/>
  <c r="I6" i="20"/>
  <c r="H33" i="28"/>
  <c r="G32" i="28"/>
  <c r="G35" i="28"/>
  <c r="H34" i="10" s="1"/>
  <c r="G34" i="28"/>
  <c r="G36" i="28"/>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D125" i="2"/>
  <c r="D124" i="2"/>
  <c r="J6" i="17"/>
  <c r="I5" i="17"/>
  <c r="H102" i="5" l="1"/>
  <c r="H78" i="15"/>
  <c r="I94" i="5"/>
  <c r="J82" i="5"/>
  <c r="J91" i="5"/>
  <c r="K88" i="5"/>
  <c r="E97" i="2"/>
  <c r="E124" i="2"/>
  <c r="G23" i="29"/>
  <c r="D140" i="2"/>
  <c r="D141" i="2"/>
  <c r="F92" i="2"/>
  <c r="F97" i="2" s="1"/>
  <c r="D112" i="2"/>
  <c r="F106" i="2"/>
  <c r="F109" i="2" s="1"/>
  <c r="D113" i="2"/>
  <c r="I33" i="28"/>
  <c r="H32" i="28"/>
  <c r="H35" i="28"/>
  <c r="I34" i="10" s="1"/>
  <c r="H36" i="28"/>
  <c r="H34" i="28"/>
  <c r="H79" i="2"/>
  <c r="F81" i="15"/>
  <c r="F120" i="2"/>
  <c r="F134" i="2"/>
  <c r="J6" i="19"/>
  <c r="I5" i="19"/>
  <c r="G52" i="1"/>
  <c r="G133" i="2"/>
  <c r="G102" i="2"/>
  <c r="G129" i="2"/>
  <c r="G91" i="2"/>
  <c r="G90" i="2"/>
  <c r="G100" i="2"/>
  <c r="G104" i="2"/>
  <c r="G105" i="2"/>
  <c r="G101" i="2"/>
  <c r="G128" i="2"/>
  <c r="G130" i="2"/>
  <c r="G132" i="2"/>
  <c r="G131" i="2"/>
  <c r="G119" i="2"/>
  <c r="G118" i="2"/>
  <c r="G103" i="2"/>
  <c r="E109" i="2"/>
  <c r="E108" i="2"/>
  <c r="E112" i="2" s="1"/>
  <c r="H44" i="5"/>
  <c r="H54" i="1"/>
  <c r="H51" i="1"/>
  <c r="H8" i="20"/>
  <c r="H57" i="1" s="1"/>
  <c r="H14" i="19"/>
  <c r="H35" i="10"/>
  <c r="H40" i="29"/>
  <c r="H23" i="29" s="1"/>
  <c r="H86" i="2"/>
  <c r="J6" i="20"/>
  <c r="I5" i="20"/>
  <c r="I32" i="10"/>
  <c r="J6" i="10"/>
  <c r="J5" i="10" s="1"/>
  <c r="I40" i="10"/>
  <c r="I43" i="10" s="1"/>
  <c r="J6" i="1"/>
  <c r="I5" i="1"/>
  <c r="I96" i="5"/>
  <c r="I90" i="5"/>
  <c r="I84" i="5"/>
  <c r="I81" i="5"/>
  <c r="I70" i="5"/>
  <c r="I71" i="5" s="1"/>
  <c r="I44" i="5" s="1"/>
  <c r="I54" i="5"/>
  <c r="I55" i="5" s="1"/>
  <c r="I40" i="5" s="1"/>
  <c r="I52" i="1" s="1"/>
  <c r="J6" i="5"/>
  <c r="L16" i="5" s="1"/>
  <c r="I87" i="5"/>
  <c r="I93" i="5"/>
  <c r="I74" i="5"/>
  <c r="I75" i="5" s="1"/>
  <c r="I45" i="5" s="1"/>
  <c r="I62" i="5"/>
  <c r="I63" i="5" s="1"/>
  <c r="I42" i="5" s="1"/>
  <c r="I54" i="1" s="1"/>
  <c r="I99" i="5"/>
  <c r="I66" i="5"/>
  <c r="I67" i="5" s="1"/>
  <c r="I43" i="5" s="1"/>
  <c r="I55" i="1" s="1"/>
  <c r="I50" i="5"/>
  <c r="I51" i="5" s="1"/>
  <c r="I39" i="5" s="1"/>
  <c r="I58" i="5"/>
  <c r="I59" i="5" s="1"/>
  <c r="I41" i="5" s="1"/>
  <c r="I53" i="1" s="1"/>
  <c r="I5" i="5"/>
  <c r="H45" i="5"/>
  <c r="J6" i="11"/>
  <c r="I5" i="11"/>
  <c r="I5" i="27"/>
  <c r="J6" i="27"/>
  <c r="I50" i="15"/>
  <c r="H41" i="5"/>
  <c r="I78" i="2"/>
  <c r="I77" i="2"/>
  <c r="I5" i="2"/>
  <c r="J6" i="2"/>
  <c r="J6" i="29"/>
  <c r="J5" i="29" s="1"/>
  <c r="E137" i="2"/>
  <c r="E141" i="2" s="1"/>
  <c r="E136" i="2"/>
  <c r="E140" i="2" s="1"/>
  <c r="J6" i="3"/>
  <c r="I5" i="3"/>
  <c r="K6" i="15"/>
  <c r="K5" i="15" s="1"/>
  <c r="J5" i="15"/>
  <c r="J6" i="4"/>
  <c r="I5" i="4"/>
  <c r="K6" i="17"/>
  <c r="J5" i="17"/>
  <c r="H28" i="3" l="1"/>
  <c r="H56" i="1" s="1"/>
  <c r="H15" i="4"/>
  <c r="H22" i="29"/>
  <c r="H35" i="29" s="1"/>
  <c r="J11" i="3"/>
  <c r="J12" i="3" s="1"/>
  <c r="J17" i="4" s="1"/>
  <c r="D147" i="2"/>
  <c r="K11" i="3"/>
  <c r="K12" i="3" s="1"/>
  <c r="K17" i="4" s="1"/>
  <c r="I11" i="3"/>
  <c r="I12" i="3" s="1"/>
  <c r="I17" i="4" s="1"/>
  <c r="K91" i="5"/>
  <c r="J94" i="5"/>
  <c r="K82" i="5"/>
  <c r="I85" i="5"/>
  <c r="I102" i="5" s="1"/>
  <c r="E113" i="2"/>
  <c r="E148" i="2" s="1"/>
  <c r="D142" i="2"/>
  <c r="F96" i="2"/>
  <c r="D148" i="2"/>
  <c r="L56" i="2"/>
  <c r="L59" i="2"/>
  <c r="L55" i="2"/>
  <c r="L65" i="5"/>
  <c r="E142" i="2"/>
  <c r="G92" i="2"/>
  <c r="G97" i="2" s="1"/>
  <c r="F113" i="2"/>
  <c r="L52" i="2"/>
  <c r="L40" i="2"/>
  <c r="L13" i="5"/>
  <c r="F108" i="2"/>
  <c r="L17" i="5"/>
  <c r="L15" i="5"/>
  <c r="D114" i="2"/>
  <c r="L62" i="2"/>
  <c r="L54" i="2"/>
  <c r="L61" i="5"/>
  <c r="L69" i="5"/>
  <c r="L11" i="5"/>
  <c r="J50" i="15"/>
  <c r="K6" i="3"/>
  <c r="K5" i="3" s="1"/>
  <c r="J5" i="3"/>
  <c r="H53" i="1"/>
  <c r="I51" i="1"/>
  <c r="I46" i="5"/>
  <c r="L64" i="2"/>
  <c r="G81" i="15"/>
  <c r="G82" i="15"/>
  <c r="K6" i="19"/>
  <c r="K5" i="19" s="1"/>
  <c r="J5" i="19"/>
  <c r="H50" i="1"/>
  <c r="I14" i="19"/>
  <c r="I40" i="29"/>
  <c r="I86" i="2"/>
  <c r="I35" i="10"/>
  <c r="I8" i="20"/>
  <c r="I57" i="1" s="1"/>
  <c r="I32" i="28"/>
  <c r="J33" i="28"/>
  <c r="I35" i="28"/>
  <c r="J34" i="10" s="1"/>
  <c r="I36" i="28"/>
  <c r="I34" i="28"/>
  <c r="J40" i="10"/>
  <c r="J43" i="10" s="1"/>
  <c r="K6" i="10"/>
  <c r="J32" i="10"/>
  <c r="K6" i="20"/>
  <c r="K5" i="20" s="1"/>
  <c r="J5" i="20"/>
  <c r="F136" i="2"/>
  <c r="F137" i="2"/>
  <c r="L50" i="2"/>
  <c r="L23" i="2"/>
  <c r="K6" i="29"/>
  <c r="K5" i="29" s="1"/>
  <c r="I79" i="2"/>
  <c r="H101" i="2"/>
  <c r="H130" i="2"/>
  <c r="H132" i="2"/>
  <c r="H131" i="2"/>
  <c r="H100" i="2"/>
  <c r="H118" i="2"/>
  <c r="H104" i="2"/>
  <c r="H103" i="2"/>
  <c r="H91" i="2"/>
  <c r="H129" i="2"/>
  <c r="H128" i="2"/>
  <c r="H105" i="2"/>
  <c r="H90" i="2"/>
  <c r="H119" i="2"/>
  <c r="H133" i="2"/>
  <c r="H46" i="5"/>
  <c r="F125" i="2"/>
  <c r="F124" i="2"/>
  <c r="K82" i="15"/>
  <c r="K50" i="15"/>
  <c r="K5" i="17"/>
  <c r="K6" i="4"/>
  <c r="K5" i="4" s="1"/>
  <c r="J5" i="4"/>
  <c r="J77" i="2"/>
  <c r="J78" i="2"/>
  <c r="K6" i="2"/>
  <c r="J5" i="2"/>
  <c r="L18" i="2"/>
  <c r="L19" i="2"/>
  <c r="L47" i="2"/>
  <c r="L13" i="2"/>
  <c r="L12" i="2"/>
  <c r="L51" i="2"/>
  <c r="L63" i="2"/>
  <c r="L22" i="2"/>
  <c r="L58" i="2"/>
  <c r="L27" i="2"/>
  <c r="K6" i="27"/>
  <c r="J5" i="27"/>
  <c r="J5" i="11"/>
  <c r="K6" i="11"/>
  <c r="K5" i="11" s="1"/>
  <c r="J96" i="5"/>
  <c r="J90" i="5"/>
  <c r="J84" i="5"/>
  <c r="J99" i="5"/>
  <c r="J93" i="5"/>
  <c r="J87" i="5"/>
  <c r="J81" i="5"/>
  <c r="J58" i="5"/>
  <c r="J59" i="5" s="1"/>
  <c r="J5" i="5"/>
  <c r="J74" i="5"/>
  <c r="J75" i="5" s="1"/>
  <c r="J66" i="5"/>
  <c r="J67" i="5" s="1"/>
  <c r="J43" i="5" s="1"/>
  <c r="J70" i="5"/>
  <c r="J71" i="5" s="1"/>
  <c r="J54" i="5"/>
  <c r="J55" i="5" s="1"/>
  <c r="L55" i="5" s="1"/>
  <c r="J50" i="5"/>
  <c r="J51" i="5" s="1"/>
  <c r="J39" i="5" s="1"/>
  <c r="J62" i="5"/>
  <c r="J63" i="5" s="1"/>
  <c r="J42" i="5" s="1"/>
  <c r="K6" i="5"/>
  <c r="L39" i="5"/>
  <c r="L73" i="5"/>
  <c r="L14" i="5"/>
  <c r="L57" i="5"/>
  <c r="K6" i="1"/>
  <c r="J5" i="1"/>
  <c r="E147" i="2"/>
  <c r="L41" i="2"/>
  <c r="L46" i="2"/>
  <c r="L53" i="5"/>
  <c r="G120" i="2"/>
  <c r="G134" i="2"/>
  <c r="G106" i="2"/>
  <c r="L26" i="2"/>
  <c r="L53" i="2"/>
  <c r="H26" i="4" l="1"/>
  <c r="I28" i="3"/>
  <c r="I56" i="1" s="1"/>
  <c r="D149" i="2"/>
  <c r="I15" i="4"/>
  <c r="I26" i="4" s="1"/>
  <c r="I22" i="29"/>
  <c r="K5" i="10"/>
  <c r="K40" i="10"/>
  <c r="K43" i="10" s="1"/>
  <c r="K94" i="5"/>
  <c r="J85" i="5"/>
  <c r="J102" i="5" s="1"/>
  <c r="F112" i="2"/>
  <c r="F114" i="2" s="1"/>
  <c r="E114" i="2"/>
  <c r="L51" i="5"/>
  <c r="L63" i="5"/>
  <c r="G96" i="2"/>
  <c r="L42" i="2"/>
  <c r="J79" i="2"/>
  <c r="J50" i="1" s="1"/>
  <c r="L67" i="5"/>
  <c r="K99" i="5"/>
  <c r="K93" i="5"/>
  <c r="K87" i="5"/>
  <c r="K81" i="5"/>
  <c r="K84" i="5"/>
  <c r="K74" i="5"/>
  <c r="K75" i="5" s="1"/>
  <c r="K45" i="5" s="1"/>
  <c r="K62" i="5"/>
  <c r="K63" i="5" s="1"/>
  <c r="K90" i="5"/>
  <c r="K96" i="5"/>
  <c r="K70" i="5"/>
  <c r="K71" i="5" s="1"/>
  <c r="K54" i="5"/>
  <c r="K55" i="5" s="1"/>
  <c r="K40" i="5" s="1"/>
  <c r="K52" i="1" s="1"/>
  <c r="K58" i="5"/>
  <c r="K59" i="5" s="1"/>
  <c r="K41" i="5" s="1"/>
  <c r="K53" i="1" s="1"/>
  <c r="K5" i="5"/>
  <c r="K66" i="5"/>
  <c r="K67" i="5" s="1"/>
  <c r="K50" i="5"/>
  <c r="K51" i="5" s="1"/>
  <c r="L49" i="5"/>
  <c r="L75" i="5"/>
  <c r="L12" i="5"/>
  <c r="L18" i="5" s="1"/>
  <c r="J44" i="5"/>
  <c r="L44" i="5" s="1"/>
  <c r="L71" i="5"/>
  <c r="J41" i="5"/>
  <c r="L59" i="5"/>
  <c r="F140" i="2"/>
  <c r="H120" i="2"/>
  <c r="K32" i="10"/>
  <c r="J35" i="10"/>
  <c r="J8" i="20"/>
  <c r="J57" i="1" s="1"/>
  <c r="J40" i="29"/>
  <c r="J14" i="19"/>
  <c r="J28" i="3"/>
  <c r="J56" i="1" s="1"/>
  <c r="J86" i="2"/>
  <c r="I101" i="2"/>
  <c r="I119" i="2"/>
  <c r="I105" i="2"/>
  <c r="I132" i="2"/>
  <c r="I131" i="2"/>
  <c r="I100" i="2"/>
  <c r="I130" i="2"/>
  <c r="I128" i="2"/>
  <c r="I118" i="2"/>
  <c r="I104" i="2"/>
  <c r="I103" i="2"/>
  <c r="I91" i="2"/>
  <c r="I90" i="2"/>
  <c r="I133" i="2"/>
  <c r="I129" i="2"/>
  <c r="G137" i="2"/>
  <c r="G136" i="2"/>
  <c r="G124" i="2"/>
  <c r="G125" i="2"/>
  <c r="J54" i="1"/>
  <c r="L42" i="5"/>
  <c r="J55" i="1"/>
  <c r="L43" i="5"/>
  <c r="K77" i="2"/>
  <c r="K78" i="2"/>
  <c r="K5" i="2"/>
  <c r="L77" i="2"/>
  <c r="L25" i="2"/>
  <c r="H81" i="15"/>
  <c r="F141" i="2"/>
  <c r="I23" i="29"/>
  <c r="E149" i="2"/>
  <c r="J51" i="1"/>
  <c r="J45" i="5"/>
  <c r="L45" i="5" s="1"/>
  <c r="K5" i="27"/>
  <c r="H92" i="2"/>
  <c r="I50" i="1"/>
  <c r="G109" i="2"/>
  <c r="G108" i="2"/>
  <c r="K5" i="1"/>
  <c r="J40" i="5"/>
  <c r="L14" i="2"/>
  <c r="H134" i="2"/>
  <c r="J32" i="28"/>
  <c r="J35" i="28"/>
  <c r="K34" i="10" s="1"/>
  <c r="J36" i="28"/>
  <c r="J34" i="28"/>
  <c r="H28" i="4" l="1"/>
  <c r="I35" i="29"/>
  <c r="J15" i="4"/>
  <c r="J22" i="29"/>
  <c r="K85" i="5"/>
  <c r="K102" i="5" s="1"/>
  <c r="M55" i="5"/>
  <c r="J46" i="5"/>
  <c r="G141" i="2"/>
  <c r="L79" i="2"/>
  <c r="K79" i="2"/>
  <c r="K50" i="1" s="1"/>
  <c r="N50" i="1" s="1"/>
  <c r="J23" i="29"/>
  <c r="M75" i="5"/>
  <c r="G140" i="2"/>
  <c r="M59" i="5"/>
  <c r="I120" i="2"/>
  <c r="I125" i="2" s="1"/>
  <c r="H96" i="2"/>
  <c r="H97" i="2"/>
  <c r="M56" i="1"/>
  <c r="M57" i="1"/>
  <c r="F142" i="2"/>
  <c r="F147" i="2"/>
  <c r="K35" i="10"/>
  <c r="K8" i="20"/>
  <c r="K57" i="1" s="1"/>
  <c r="K14" i="19"/>
  <c r="K28" i="3"/>
  <c r="K56" i="1" s="1"/>
  <c r="N56" i="1" s="1"/>
  <c r="K40" i="29"/>
  <c r="K86" i="2"/>
  <c r="G112" i="2"/>
  <c r="M50" i="1"/>
  <c r="F148" i="2"/>
  <c r="M55" i="1"/>
  <c r="I81" i="15"/>
  <c r="I82" i="15"/>
  <c r="K39" i="5"/>
  <c r="M51" i="5"/>
  <c r="K42" i="5"/>
  <c r="M63" i="5"/>
  <c r="H136" i="2"/>
  <c r="H137" i="2"/>
  <c r="J52" i="1"/>
  <c r="M40" i="5"/>
  <c r="L40" i="5"/>
  <c r="G113" i="2"/>
  <c r="I92" i="2"/>
  <c r="H125" i="2"/>
  <c r="H124" i="2"/>
  <c r="K43" i="5"/>
  <c r="M67" i="5"/>
  <c r="K44" i="5"/>
  <c r="M44" i="5" s="1"/>
  <c r="M71" i="5"/>
  <c r="M45" i="5"/>
  <c r="M51" i="1"/>
  <c r="M77" i="2"/>
  <c r="M54" i="1"/>
  <c r="I134" i="2"/>
  <c r="J101" i="2"/>
  <c r="L101" i="2" s="1"/>
  <c r="J119" i="2"/>
  <c r="L119" i="2" s="1"/>
  <c r="J105" i="2"/>
  <c r="L105" i="2" s="1"/>
  <c r="J90" i="2"/>
  <c r="J131" i="2"/>
  <c r="L131" i="2" s="1"/>
  <c r="J130" i="2"/>
  <c r="L130" i="2" s="1"/>
  <c r="J104" i="2"/>
  <c r="L104" i="2" s="1"/>
  <c r="J103" i="2"/>
  <c r="L103" i="2" s="1"/>
  <c r="J91" i="2"/>
  <c r="J118" i="2"/>
  <c r="L118" i="2" s="1"/>
  <c r="J129" i="2"/>
  <c r="L129" i="2" s="1"/>
  <c r="J128" i="2"/>
  <c r="J133" i="2"/>
  <c r="L133" i="2" s="1"/>
  <c r="J102" i="2"/>
  <c r="J132" i="2"/>
  <c r="L132" i="2" s="1"/>
  <c r="J100" i="2"/>
  <c r="J53" i="1"/>
  <c r="M41" i="5"/>
  <c r="L41" i="5"/>
  <c r="J26" i="4" l="1"/>
  <c r="G142" i="2"/>
  <c r="J35" i="29"/>
  <c r="K15" i="4"/>
  <c r="K22" i="29"/>
  <c r="M79" i="2"/>
  <c r="I124" i="2"/>
  <c r="L120" i="2"/>
  <c r="J106" i="2"/>
  <c r="L100" i="2"/>
  <c r="K23" i="29"/>
  <c r="L46" i="5"/>
  <c r="H141" i="2"/>
  <c r="K54" i="1"/>
  <c r="M42" i="5"/>
  <c r="K46" i="5"/>
  <c r="K51" i="1"/>
  <c r="M39" i="5"/>
  <c r="G114" i="2"/>
  <c r="G147" i="2"/>
  <c r="J134" i="2"/>
  <c r="L128" i="2"/>
  <c r="I136" i="2"/>
  <c r="I137" i="2"/>
  <c r="I141" i="2" s="1"/>
  <c r="L134" i="2"/>
  <c r="G148" i="2"/>
  <c r="H140" i="2"/>
  <c r="J81" i="15"/>
  <c r="J82" i="15"/>
  <c r="L90" i="2"/>
  <c r="M53" i="1"/>
  <c r="N53" i="1"/>
  <c r="J120" i="2"/>
  <c r="J92" i="2"/>
  <c r="L91" i="2"/>
  <c r="K55" i="1"/>
  <c r="M43" i="5"/>
  <c r="I97" i="2"/>
  <c r="I96" i="2"/>
  <c r="N52" i="1"/>
  <c r="M52" i="1"/>
  <c r="K131" i="2"/>
  <c r="M131" i="2" s="1"/>
  <c r="K100" i="2"/>
  <c r="K130" i="2"/>
  <c r="M130" i="2" s="1"/>
  <c r="K104" i="2"/>
  <c r="M104" i="2" s="1"/>
  <c r="K105" i="2"/>
  <c r="M105" i="2" s="1"/>
  <c r="K103" i="2"/>
  <c r="M103" i="2" s="1"/>
  <c r="K91" i="2"/>
  <c r="M91" i="2" s="1"/>
  <c r="K118" i="2"/>
  <c r="M118" i="2" s="1"/>
  <c r="K132" i="2"/>
  <c r="M132" i="2" s="1"/>
  <c r="K101" i="2"/>
  <c r="M101" i="2" s="1"/>
  <c r="K119" i="2"/>
  <c r="K90" i="2"/>
  <c r="K129" i="2"/>
  <c r="M129" i="2" s="1"/>
  <c r="K128" i="2"/>
  <c r="K133" i="2"/>
  <c r="M133" i="2" s="1"/>
  <c r="K102" i="2"/>
  <c r="N57" i="1"/>
  <c r="F149" i="2"/>
  <c r="K26" i="4" l="1"/>
  <c r="I140" i="2"/>
  <c r="K35" i="29"/>
  <c r="K81" i="15"/>
  <c r="L92" i="2"/>
  <c r="M46" i="5"/>
  <c r="N54" i="1"/>
  <c r="J108" i="2"/>
  <c r="J109" i="2"/>
  <c r="J136" i="2"/>
  <c r="L136" i="2" s="1"/>
  <c r="J137" i="2"/>
  <c r="L137" i="2" s="1"/>
  <c r="M128" i="2"/>
  <c r="K134" i="2"/>
  <c r="J124" i="2"/>
  <c r="J125" i="2"/>
  <c r="H142" i="2"/>
  <c r="N51" i="1"/>
  <c r="M90" i="2"/>
  <c r="M92" i="2" s="1"/>
  <c r="K120" i="2"/>
  <c r="K92" i="2"/>
  <c r="K106" i="2"/>
  <c r="I142" i="2"/>
  <c r="N55" i="1"/>
  <c r="J96" i="2"/>
  <c r="L96" i="2" s="1"/>
  <c r="J97" i="2"/>
  <c r="M100" i="2"/>
  <c r="M119" i="2"/>
  <c r="M120" i="2" s="1"/>
  <c r="G149" i="2"/>
  <c r="J113" i="2" l="1"/>
  <c r="L97" i="2"/>
  <c r="K96" i="2"/>
  <c r="K97" i="2"/>
  <c r="M97" i="2" s="1"/>
  <c r="J141" i="2"/>
  <c r="L141" i="2" s="1"/>
  <c r="L125" i="2"/>
  <c r="K124" i="2"/>
  <c r="M124" i="2" s="1"/>
  <c r="K125" i="2"/>
  <c r="J140" i="2"/>
  <c r="L124" i="2"/>
  <c r="K136" i="2"/>
  <c r="M136" i="2" s="1"/>
  <c r="K137" i="2"/>
  <c r="M137" i="2" s="1"/>
  <c r="M134" i="2"/>
  <c r="K108" i="2"/>
  <c r="K109" i="2"/>
  <c r="J112" i="2"/>
  <c r="K141" i="2" l="1"/>
  <c r="M141" i="2" s="1"/>
  <c r="K140" i="2"/>
  <c r="K113" i="2"/>
  <c r="J148" i="2"/>
  <c r="J142" i="2"/>
  <c r="L142" i="2" s="1"/>
  <c r="L140" i="2"/>
  <c r="M125" i="2"/>
  <c r="K112" i="2"/>
  <c r="M96" i="2"/>
  <c r="J147" i="2"/>
  <c r="J114" i="2"/>
  <c r="K148" i="2" l="1"/>
  <c r="K142" i="2"/>
  <c r="M140" i="2"/>
  <c r="K147" i="2"/>
  <c r="K114" i="2"/>
  <c r="M142" i="2"/>
  <c r="J149" i="2"/>
  <c r="K149" i="2" l="1"/>
  <c r="H64" i="4" l="1"/>
  <c r="H66" i="4" s="1"/>
  <c r="H68" i="4" s="1"/>
  <c r="F21" i="10" l="1"/>
  <c r="H21" i="10"/>
  <c r="K21" i="10"/>
  <c r="D31" i="10"/>
  <c r="D21" i="10"/>
  <c r="D29" i="10" s="1"/>
  <c r="G21" i="10"/>
  <c r="I21" i="10"/>
  <c r="E21" i="10"/>
  <c r="J21" i="10"/>
  <c r="H24" i="10" l="1"/>
  <c r="I24" i="10"/>
  <c r="G24" i="10"/>
  <c r="F24" i="10"/>
  <c r="E24" i="10"/>
  <c r="J24" i="10"/>
  <c r="J31" i="10"/>
  <c r="K24" i="10"/>
  <c r="E31" i="10"/>
  <c r="I31" i="10"/>
  <c r="H31" i="10"/>
  <c r="K31" i="10"/>
  <c r="G31" i="10"/>
  <c r="F31" i="10"/>
  <c r="E16" i="10"/>
  <c r="E18" i="10" s="1"/>
  <c r="D32" i="10"/>
  <c r="D47" i="10"/>
  <c r="D38" i="10"/>
  <c r="E29" i="10" l="1"/>
  <c r="D46" i="10"/>
  <c r="D45" i="10"/>
  <c r="E38" i="10" l="1"/>
  <c r="E32" i="10"/>
  <c r="F16" i="10"/>
  <c r="F18" i="10" s="1"/>
  <c r="F29" i="10" s="1"/>
  <c r="E47" i="10"/>
  <c r="E45" i="10" s="1"/>
  <c r="D48" i="29"/>
  <c r="D66" i="1"/>
  <c r="D53" i="10"/>
  <c r="D49" i="10"/>
  <c r="D65" i="1"/>
  <c r="D50" i="10"/>
  <c r="D54" i="10"/>
  <c r="F32" i="10" l="1"/>
  <c r="F38" i="10"/>
  <c r="F47" i="10"/>
  <c r="F45" i="10" s="1"/>
  <c r="G16" i="10"/>
  <c r="G18" i="10" s="1"/>
  <c r="G29" i="10" s="1"/>
  <c r="E46" i="10"/>
  <c r="E50" i="10" s="1"/>
  <c r="D55" i="10"/>
  <c r="D57" i="10"/>
  <c r="D51" i="10"/>
  <c r="D13" i="1"/>
  <c r="D17" i="1"/>
  <c r="D19" i="1"/>
  <c r="D15" i="1"/>
  <c r="D16" i="1"/>
  <c r="D12" i="1"/>
  <c r="D18" i="1"/>
  <c r="D11" i="1"/>
  <c r="D14" i="1"/>
  <c r="D30" i="1"/>
  <c r="D37" i="1"/>
  <c r="D34" i="1"/>
  <c r="D36" i="1"/>
  <c r="D33" i="1"/>
  <c r="D35" i="1"/>
  <c r="D32" i="1"/>
  <c r="D38" i="1"/>
  <c r="D31" i="1"/>
  <c r="D58" i="10"/>
  <c r="D48" i="1"/>
  <c r="E49" i="10"/>
  <c r="E53" i="10"/>
  <c r="G47" i="10" l="1"/>
  <c r="G46" i="10" s="1"/>
  <c r="G38" i="10"/>
  <c r="F46" i="10"/>
  <c r="F54" i="10" s="1"/>
  <c r="E66" i="1"/>
  <c r="G32" i="10"/>
  <c r="H16" i="10"/>
  <c r="H18" i="10" s="1"/>
  <c r="H29" i="10" s="1"/>
  <c r="E54" i="10"/>
  <c r="E55" i="10" s="1"/>
  <c r="E65" i="1"/>
  <c r="E48" i="1"/>
  <c r="E58" i="10"/>
  <c r="E51" i="10"/>
  <c r="E57" i="10"/>
  <c r="F53" i="10"/>
  <c r="F49" i="10"/>
  <c r="D59" i="10"/>
  <c r="D58" i="1"/>
  <c r="D10" i="1"/>
  <c r="D20" i="1" s="1"/>
  <c r="D29" i="1"/>
  <c r="D39" i="1" s="1"/>
  <c r="G66" i="1" l="1"/>
  <c r="G45" i="10"/>
  <c r="G53" i="10" s="1"/>
  <c r="F50" i="10"/>
  <c r="F65" i="1"/>
  <c r="F16" i="1" s="1"/>
  <c r="E13" i="1"/>
  <c r="E32" i="1"/>
  <c r="F48" i="29"/>
  <c r="I16" i="10"/>
  <c r="I18" i="10" s="1"/>
  <c r="I29" i="10" s="1"/>
  <c r="E48" i="29"/>
  <c r="H38" i="10"/>
  <c r="H47" i="10"/>
  <c r="H46" i="10" s="1"/>
  <c r="E38" i="1"/>
  <c r="E35" i="1"/>
  <c r="E33" i="1"/>
  <c r="E34" i="1"/>
  <c r="E36" i="1"/>
  <c r="E30" i="1"/>
  <c r="E37" i="1"/>
  <c r="E12" i="1"/>
  <c r="E31" i="1"/>
  <c r="E14" i="1"/>
  <c r="E16" i="1"/>
  <c r="E18" i="1"/>
  <c r="E11" i="1"/>
  <c r="E15" i="1"/>
  <c r="E17" i="1"/>
  <c r="E19" i="1"/>
  <c r="D88" i="29"/>
  <c r="D89" i="29" s="1"/>
  <c r="D59" i="1" s="1"/>
  <c r="F55" i="10"/>
  <c r="F51" i="10"/>
  <c r="F57" i="10"/>
  <c r="F58" i="10"/>
  <c r="F48" i="1"/>
  <c r="E10" i="1"/>
  <c r="E58" i="1"/>
  <c r="E29" i="1"/>
  <c r="D86" i="29"/>
  <c r="G49" i="10"/>
  <c r="G65" i="1"/>
  <c r="G50" i="10"/>
  <c r="G54" i="10"/>
  <c r="G48" i="29"/>
  <c r="E59" i="10"/>
  <c r="I47" i="10" l="1"/>
  <c r="F12" i="1"/>
  <c r="F13" i="1"/>
  <c r="F17" i="1"/>
  <c r="F15" i="1"/>
  <c r="F14" i="1"/>
  <c r="F19" i="1"/>
  <c r="F11" i="1"/>
  <c r="F18" i="1"/>
  <c r="F66" i="1"/>
  <c r="F37" i="1" s="1"/>
  <c r="H45" i="10"/>
  <c r="H53" i="10" s="1"/>
  <c r="I38" i="10"/>
  <c r="J16" i="10"/>
  <c r="J18" i="10" s="1"/>
  <c r="J29" i="10" s="1"/>
  <c r="E39" i="1"/>
  <c r="E20" i="1"/>
  <c r="G55" i="10"/>
  <c r="E88" i="29"/>
  <c r="E89" i="29" s="1"/>
  <c r="E59" i="1" s="1"/>
  <c r="D21" i="1"/>
  <c r="G51" i="10"/>
  <c r="G57" i="10"/>
  <c r="E86" i="29"/>
  <c r="I45" i="10"/>
  <c r="I46" i="10"/>
  <c r="F59" i="10"/>
  <c r="H65" i="1"/>
  <c r="H54" i="10"/>
  <c r="H50" i="10"/>
  <c r="G48" i="1"/>
  <c r="G58" i="10"/>
  <c r="G30" i="1"/>
  <c r="G36" i="1"/>
  <c r="G35" i="1"/>
  <c r="G34" i="1"/>
  <c r="G38" i="1"/>
  <c r="G37" i="1"/>
  <c r="G33" i="1"/>
  <c r="G32" i="1"/>
  <c r="G31" i="1"/>
  <c r="D87" i="29"/>
  <c r="D90" i="29" s="1"/>
  <c r="D51" i="29"/>
  <c r="G15" i="1"/>
  <c r="G19" i="1"/>
  <c r="G18" i="1"/>
  <c r="G16" i="1"/>
  <c r="G14" i="1"/>
  <c r="G11" i="1"/>
  <c r="G13" i="1"/>
  <c r="G17" i="1"/>
  <c r="G12" i="1"/>
  <c r="M12" i="1"/>
  <c r="F10" i="1"/>
  <c r="F58" i="1"/>
  <c r="F35" i="1" l="1"/>
  <c r="M17" i="1"/>
  <c r="F38" i="1"/>
  <c r="F29" i="1"/>
  <c r="F20" i="1"/>
  <c r="F33" i="1"/>
  <c r="F36" i="1"/>
  <c r="F31" i="1"/>
  <c r="F30" i="1"/>
  <c r="F32" i="1"/>
  <c r="F34" i="1"/>
  <c r="H49" i="10"/>
  <c r="J38" i="10"/>
  <c r="J47" i="10"/>
  <c r="J45" i="10" s="1"/>
  <c r="K16" i="10"/>
  <c r="K18" i="10" s="1"/>
  <c r="K29" i="10" s="1"/>
  <c r="M16" i="1"/>
  <c r="D60" i="1"/>
  <c r="D40" i="1" s="1"/>
  <c r="M18" i="1"/>
  <c r="M13" i="1"/>
  <c r="I50" i="10"/>
  <c r="I54" i="10"/>
  <c r="I65" i="1"/>
  <c r="I49" i="10"/>
  <c r="I53" i="10"/>
  <c r="E21" i="1"/>
  <c r="F86" i="29"/>
  <c r="G58" i="1"/>
  <c r="G29" i="1"/>
  <c r="G39" i="1" s="1"/>
  <c r="G10" i="1"/>
  <c r="G20" i="1" s="1"/>
  <c r="H48" i="1"/>
  <c r="H58" i="10"/>
  <c r="E87" i="29"/>
  <c r="E90" i="29" s="1"/>
  <c r="E51" i="29"/>
  <c r="G59" i="10"/>
  <c r="H14" i="1"/>
  <c r="H12" i="1"/>
  <c r="H18" i="1"/>
  <c r="H17" i="1"/>
  <c r="H13" i="1"/>
  <c r="H16" i="1"/>
  <c r="H19" i="1"/>
  <c r="H15" i="1"/>
  <c r="M15" i="1"/>
  <c r="M14" i="1"/>
  <c r="M19" i="1"/>
  <c r="H55" i="10"/>
  <c r="F39" i="1" l="1"/>
  <c r="H57" i="10"/>
  <c r="H51" i="10"/>
  <c r="J46" i="10"/>
  <c r="J54" i="10" s="1"/>
  <c r="K47" i="10"/>
  <c r="K38" i="10"/>
  <c r="E60" i="1"/>
  <c r="E40" i="1" s="1"/>
  <c r="H59" i="10"/>
  <c r="F87" i="29"/>
  <c r="I14" i="1"/>
  <c r="I16" i="1"/>
  <c r="I17" i="1"/>
  <c r="I15" i="1"/>
  <c r="I19" i="1"/>
  <c r="I12" i="1"/>
  <c r="I13" i="1"/>
  <c r="I18" i="1"/>
  <c r="G86" i="29"/>
  <c r="M48" i="1"/>
  <c r="H10" i="1"/>
  <c r="M10" i="1"/>
  <c r="I58" i="10"/>
  <c r="I48" i="1"/>
  <c r="I55" i="10"/>
  <c r="J49" i="10"/>
  <c r="J53" i="10"/>
  <c r="I57" i="10"/>
  <c r="I51" i="10"/>
  <c r="F88" i="29" l="1"/>
  <c r="F89" i="29" s="1"/>
  <c r="F90" i="29" s="1"/>
  <c r="F60" i="1" s="1"/>
  <c r="J50" i="10"/>
  <c r="J51" i="10" s="1"/>
  <c r="J65" i="1"/>
  <c r="J14" i="1" s="1"/>
  <c r="K45" i="10"/>
  <c r="K53" i="10" s="1"/>
  <c r="K46" i="10"/>
  <c r="K54" i="10" s="1"/>
  <c r="G88" i="29"/>
  <c r="G89" i="29" s="1"/>
  <c r="G59" i="1" s="1"/>
  <c r="G21" i="1" s="1"/>
  <c r="J55" i="10"/>
  <c r="I59" i="10"/>
  <c r="G87" i="29"/>
  <c r="I10" i="1"/>
  <c r="J57" i="10"/>
  <c r="F59" i="1"/>
  <c r="F51" i="29"/>
  <c r="J17" i="1" l="1"/>
  <c r="J13" i="1"/>
  <c r="J58" i="10"/>
  <c r="J59" i="10" s="1"/>
  <c r="J48" i="1"/>
  <c r="J10" i="1" s="1"/>
  <c r="J12" i="1"/>
  <c r="J15" i="1"/>
  <c r="K50" i="10"/>
  <c r="K58" i="10" s="1"/>
  <c r="J16" i="1"/>
  <c r="J11" i="1"/>
  <c r="J19" i="1"/>
  <c r="J18" i="1"/>
  <c r="K49" i="10"/>
  <c r="K57" i="10" s="1"/>
  <c r="K65" i="1"/>
  <c r="N17" i="1" s="1"/>
  <c r="G51" i="29"/>
  <c r="G90" i="29"/>
  <c r="G60" i="1" s="1"/>
  <c r="G40" i="1" s="1"/>
  <c r="K55" i="10"/>
  <c r="F21" i="1"/>
  <c r="J58" i="1"/>
  <c r="F40" i="1"/>
  <c r="N19" i="1" l="1"/>
  <c r="K48" i="1"/>
  <c r="N48" i="1" s="1"/>
  <c r="K51" i="10"/>
  <c r="K11" i="1"/>
  <c r="J20" i="1"/>
  <c r="K19" i="1"/>
  <c r="N12" i="1"/>
  <c r="K13" i="1"/>
  <c r="K15" i="1"/>
  <c r="N13" i="1"/>
  <c r="N14" i="1"/>
  <c r="N18" i="1"/>
  <c r="K16" i="1"/>
  <c r="N15" i="1"/>
  <c r="K18" i="1"/>
  <c r="K17" i="1"/>
  <c r="K14" i="1"/>
  <c r="K12" i="1"/>
  <c r="N16" i="1"/>
  <c r="K59" i="10"/>
  <c r="K58" i="1" l="1"/>
  <c r="N10" i="1"/>
  <c r="K10" i="1"/>
  <c r="K20" i="1" s="1"/>
  <c r="H18" i="15" l="1"/>
  <c r="H23" i="15" l="1"/>
  <c r="H46" i="15" l="1"/>
  <c r="H48" i="15" s="1"/>
  <c r="H80" i="15" l="1"/>
  <c r="H82" i="15" s="1"/>
  <c r="H50" i="15"/>
  <c r="F78" i="15" l="1"/>
  <c r="F46" i="15"/>
  <c r="F48" i="15" s="1"/>
  <c r="E78" i="15" l="1"/>
  <c r="F80" i="15"/>
  <c r="F82" i="15" s="1"/>
  <c r="F50" i="15"/>
  <c r="E46" i="15" l="1"/>
  <c r="E48" i="15" s="1"/>
  <c r="E80" i="15" l="1"/>
  <c r="E82" i="15" s="1"/>
  <c r="E50" i="15"/>
  <c r="I48" i="29" l="1"/>
  <c r="I66" i="1"/>
  <c r="H48" i="29"/>
  <c r="H66" i="1"/>
  <c r="M34" i="1" l="1"/>
  <c r="M36" i="1"/>
  <c r="M35" i="1"/>
  <c r="H32" i="1"/>
  <c r="M31" i="1"/>
  <c r="H35" i="1"/>
  <c r="H31" i="1"/>
  <c r="M29" i="1"/>
  <c r="M33" i="1"/>
  <c r="H29" i="1"/>
  <c r="M38" i="1"/>
  <c r="H38" i="1"/>
  <c r="H36" i="1"/>
  <c r="M37" i="1"/>
  <c r="M32" i="1"/>
  <c r="H33" i="1"/>
  <c r="H37" i="1"/>
  <c r="H34" i="1"/>
  <c r="I35" i="1"/>
  <c r="I32" i="1"/>
  <c r="I31" i="1"/>
  <c r="I37" i="1"/>
  <c r="I33" i="1"/>
  <c r="I36" i="1"/>
  <c r="I29" i="1"/>
  <c r="I34" i="1"/>
  <c r="I38" i="1"/>
  <c r="H86" i="29" l="1"/>
  <c r="J48" i="29"/>
  <c r="J66" i="1"/>
  <c r="K66" i="1"/>
  <c r="K48" i="29"/>
  <c r="H87" i="29" l="1"/>
  <c r="K35" i="1"/>
  <c r="K29" i="1"/>
  <c r="K34" i="1"/>
  <c r="K31" i="1"/>
  <c r="K36" i="1"/>
  <c r="K38" i="1"/>
  <c r="K32" i="1"/>
  <c r="K30" i="1"/>
  <c r="K37" i="1"/>
  <c r="K33" i="1"/>
  <c r="J86" i="29"/>
  <c r="J35" i="1"/>
  <c r="J38" i="1"/>
  <c r="J29" i="1"/>
  <c r="J33" i="1"/>
  <c r="J36" i="1"/>
  <c r="J30" i="1"/>
  <c r="J31" i="1"/>
  <c r="J34" i="1"/>
  <c r="J37" i="1"/>
  <c r="J32" i="1"/>
  <c r="N29" i="1"/>
  <c r="N31" i="1"/>
  <c r="N34" i="1"/>
  <c r="N32" i="1"/>
  <c r="N33" i="1"/>
  <c r="N35" i="1"/>
  <c r="N37" i="1"/>
  <c r="N38" i="1"/>
  <c r="N36" i="1"/>
  <c r="K86" i="29"/>
  <c r="J87" i="29" l="1"/>
  <c r="K39" i="1"/>
  <c r="K87" i="29"/>
  <c r="J39" i="1"/>
  <c r="H88" i="29"/>
  <c r="H89" i="29" l="1"/>
  <c r="H51" i="29"/>
  <c r="J88" i="29" l="1"/>
  <c r="K88" i="29"/>
  <c r="H59" i="1"/>
  <c r="H90" i="29"/>
  <c r="H60" i="1" s="1"/>
  <c r="K89" i="29" l="1"/>
  <c r="K51" i="29"/>
  <c r="M60" i="1"/>
  <c r="M21" i="1"/>
  <c r="M59" i="1"/>
  <c r="H21" i="1"/>
  <c r="H40" i="1"/>
  <c r="M40" i="1"/>
  <c r="J89" i="29"/>
  <c r="J51" i="29"/>
  <c r="J90" i="29" l="1"/>
  <c r="J60" i="1" s="1"/>
  <c r="J59" i="1"/>
  <c r="K90" i="29"/>
  <c r="K60" i="1" s="1"/>
  <c r="K59" i="1"/>
  <c r="J40" i="1" l="1"/>
  <c r="J21" i="1"/>
  <c r="K21" i="1"/>
  <c r="K40" i="1"/>
  <c r="I88" i="29" l="1"/>
  <c r="I89" i="29" s="1"/>
  <c r="I59" i="1" s="1"/>
  <c r="I86" i="29"/>
  <c r="I21" i="1" l="1"/>
  <c r="N21" i="1"/>
  <c r="N59" i="1"/>
  <c r="I87" i="29"/>
  <c r="I90" i="29" s="1"/>
  <c r="I60" i="1" s="1"/>
  <c r="N60" i="1" s="1"/>
  <c r="I51" i="29"/>
  <c r="I40" i="1" l="1"/>
  <c r="N40" i="1"/>
  <c r="E69" i="29" l="1"/>
  <c r="J69" i="29"/>
  <c r="G69" i="29"/>
  <c r="D69" i="29"/>
  <c r="G71" i="29" l="1"/>
  <c r="G74" i="29" s="1"/>
  <c r="G75" i="29" s="1"/>
  <c r="J71" i="29"/>
  <c r="J74" i="29" s="1"/>
  <c r="J75" i="29" s="1"/>
  <c r="D71" i="29"/>
  <c r="D74" i="29" s="1"/>
  <c r="D75" i="29" s="1"/>
  <c r="E71" i="29"/>
  <c r="E74" i="29" s="1"/>
  <c r="E75" i="29" s="1"/>
  <c r="K69" i="29"/>
  <c r="F69" i="29"/>
  <c r="I69" i="29"/>
  <c r="H69" i="29"/>
  <c r="F71" i="29" l="1"/>
  <c r="F74" i="29" s="1"/>
  <c r="F75" i="29" s="1"/>
  <c r="H71" i="29"/>
  <c r="H74" i="29" s="1"/>
  <c r="H75" i="29" s="1"/>
  <c r="K71" i="29"/>
  <c r="K74" i="29" s="1"/>
  <c r="K75" i="29" s="1"/>
  <c r="I71" i="29"/>
  <c r="I74" i="29" s="1"/>
  <c r="I75" i="29" s="1"/>
  <c r="H28" i="2" l="1"/>
  <c r="L24" i="2"/>
  <c r="H102" i="2"/>
  <c r="I28" i="2" l="1"/>
  <c r="M28" i="2" s="1"/>
  <c r="I102" i="2"/>
  <c r="I106" i="2" s="1"/>
  <c r="H106" i="2"/>
  <c r="L102" i="2"/>
  <c r="M102" i="2"/>
  <c r="M24" i="2"/>
  <c r="H30" i="2"/>
  <c r="H31" i="2"/>
  <c r="L28" i="2"/>
  <c r="H34" i="2" l="1"/>
  <c r="L30" i="2"/>
  <c r="H109" i="2"/>
  <c r="H108" i="2"/>
  <c r="L106" i="2"/>
  <c r="M106" i="2"/>
  <c r="I109" i="2"/>
  <c r="I113" i="2" s="1"/>
  <c r="I148" i="2" s="1"/>
  <c r="I108" i="2"/>
  <c r="I112" i="2" s="1"/>
  <c r="H35" i="2"/>
  <c r="L31" i="2"/>
  <c r="I31" i="2"/>
  <c r="I35" i="2" s="1"/>
  <c r="I30" i="2"/>
  <c r="I34" i="2" s="1"/>
  <c r="H113" i="2" l="1"/>
  <c r="L109" i="2"/>
  <c r="M109" i="2"/>
  <c r="I49" i="1"/>
  <c r="I70" i="2"/>
  <c r="H112" i="2"/>
  <c r="L108" i="2"/>
  <c r="M108" i="2"/>
  <c r="H49" i="1"/>
  <c r="M35" i="2"/>
  <c r="H70" i="2"/>
  <c r="L35" i="2"/>
  <c r="M31" i="2"/>
  <c r="I69" i="2"/>
  <c r="I36" i="2"/>
  <c r="M30" i="2"/>
  <c r="I147" i="2"/>
  <c r="I149" i="2" s="1"/>
  <c r="I114" i="2"/>
  <c r="M34" i="2"/>
  <c r="H69" i="2"/>
  <c r="H36" i="2"/>
  <c r="L34" i="2"/>
  <c r="I71" i="2" l="1"/>
  <c r="H147" i="2"/>
  <c r="H114" i="2"/>
  <c r="L112" i="2"/>
  <c r="M112" i="2"/>
  <c r="M36" i="2"/>
  <c r="L36" i="2"/>
  <c r="M69" i="2"/>
  <c r="H71" i="2"/>
  <c r="L69" i="2"/>
  <c r="I11" i="1"/>
  <c r="I20" i="1" s="1"/>
  <c r="I58" i="1"/>
  <c r="I30" i="1"/>
  <c r="I39" i="1" s="1"/>
  <c r="M70" i="2"/>
  <c r="L70" i="2"/>
  <c r="N49" i="1"/>
  <c r="N58" i="1" s="1"/>
  <c r="M49" i="1"/>
  <c r="M58" i="1" s="1"/>
  <c r="H11" i="1"/>
  <c r="M11" i="1"/>
  <c r="H58" i="1"/>
  <c r="N11" i="1"/>
  <c r="H30" i="1"/>
  <c r="H39" i="1" s="1"/>
  <c r="M30" i="1"/>
  <c r="M39" i="1" s="1"/>
  <c r="N30" i="1"/>
  <c r="H148" i="2"/>
  <c r="L113" i="2"/>
  <c r="M113" i="2"/>
  <c r="N20" i="1" l="1"/>
  <c r="M20" i="1"/>
  <c r="N39" i="1"/>
  <c r="H20" i="1"/>
  <c r="L148" i="2"/>
  <c r="M148" i="2"/>
  <c r="L114" i="2"/>
  <c r="M114" i="2"/>
  <c r="H149" i="2"/>
  <c r="L147" i="2"/>
  <c r="M147" i="2"/>
  <c r="M71" i="2"/>
  <c r="L71" i="2"/>
  <c r="L149" i="2" l="1"/>
  <c r="M149" i="2"/>
  <c r="G35" i="29" l="1"/>
  <c r="G38" i="29" s="1"/>
  <c r="G42" i="29" l="1"/>
  <c r="G80" i="29" s="1"/>
  <c r="G50" i="29"/>
  <c r="G52" i="29" s="1"/>
  <c r="G54" i="29" s="1"/>
  <c r="G82" i="29" s="1"/>
  <c r="G61" i="1" s="1"/>
  <c r="K38" i="29"/>
  <c r="K50" i="29" l="1"/>
  <c r="K52" i="29" s="1"/>
  <c r="K54" i="29" s="1"/>
  <c r="K82" i="29" s="1"/>
  <c r="K61" i="1" s="1"/>
  <c r="K42" i="29"/>
  <c r="K80" i="29" s="1"/>
  <c r="G22" i="1"/>
  <c r="G23" i="1" s="1"/>
  <c r="G84" i="29"/>
  <c r="G62" i="1" s="1"/>
  <c r="G41" i="1" s="1"/>
  <c r="G42" i="1" s="1"/>
  <c r="G63" i="1" l="1"/>
  <c r="K84" i="29"/>
  <c r="K62" i="1" s="1"/>
  <c r="K41" i="1" s="1"/>
  <c r="K42" i="1" s="1"/>
  <c r="K22" i="1"/>
  <c r="K23" i="1" s="1"/>
  <c r="E35" i="29"/>
  <c r="E38" i="29" s="1"/>
  <c r="K63" i="1" l="1"/>
  <c r="E42" i="29"/>
  <c r="E80" i="29" s="1"/>
  <c r="E50" i="29"/>
  <c r="E52" i="29" s="1"/>
  <c r="E54" i="29" s="1"/>
  <c r="E82" i="29" s="1"/>
  <c r="E61" i="1" s="1"/>
  <c r="F35" i="29" l="1"/>
  <c r="F38" i="29" s="1"/>
  <c r="F50" i="29" s="1"/>
  <c r="F52" i="29" s="1"/>
  <c r="F54" i="29" s="1"/>
  <c r="F82" i="29" s="1"/>
  <c r="F61" i="1" s="1"/>
  <c r="F42" i="29"/>
  <c r="F80" i="29" s="1"/>
  <c r="E22" i="1"/>
  <c r="E23" i="1" s="1"/>
  <c r="E84" i="29"/>
  <c r="E62" i="1" s="1"/>
  <c r="E63" i="1" s="1"/>
  <c r="F84" i="29" l="1"/>
  <c r="F62" i="1" s="1"/>
  <c r="F41" i="1" s="1"/>
  <c r="F42" i="1" s="1"/>
  <c r="E41" i="1"/>
  <c r="E42" i="1" s="1"/>
  <c r="D35" i="29"/>
  <c r="D38" i="29" s="1"/>
  <c r="F22" i="1"/>
  <c r="F23" i="1" s="1"/>
  <c r="F63" i="1" l="1"/>
  <c r="D50" i="29"/>
  <c r="D52" i="29" s="1"/>
  <c r="D54" i="29" s="1"/>
  <c r="D82" i="29" s="1"/>
  <c r="D61" i="1" s="1"/>
  <c r="D42" i="29"/>
  <c r="D80" i="29" s="1"/>
  <c r="D84" i="29" l="1"/>
  <c r="D62" i="1" s="1"/>
  <c r="D63" i="1" s="1"/>
  <c r="D22" i="1"/>
  <c r="D23" i="1" s="1"/>
  <c r="D41" i="1" l="1"/>
  <c r="D42" i="1" s="1"/>
  <c r="I38" i="29"/>
  <c r="H38" i="29"/>
  <c r="J38" i="29"/>
  <c r="J42" i="29" l="1"/>
  <c r="J80" i="29" s="1"/>
  <c r="J50" i="29"/>
  <c r="J52" i="29" s="1"/>
  <c r="J54" i="29" s="1"/>
  <c r="J82" i="29" s="1"/>
  <c r="J61" i="1" s="1"/>
  <c r="I42" i="29"/>
  <c r="I80" i="29" s="1"/>
  <c r="I50" i="29"/>
  <c r="I52" i="29" s="1"/>
  <c r="I54" i="29" s="1"/>
  <c r="I82" i="29" s="1"/>
  <c r="I61" i="1" s="1"/>
  <c r="H42" i="29"/>
  <c r="H80" i="29" s="1"/>
  <c r="H50" i="29"/>
  <c r="H52" i="29" s="1"/>
  <c r="H54" i="29" s="1"/>
  <c r="H82" i="29" s="1"/>
  <c r="H61" i="1" s="1"/>
  <c r="H84" i="29" l="1"/>
  <c r="H62" i="1" s="1"/>
  <c r="H41" i="1" s="1"/>
  <c r="H42" i="1" s="1"/>
  <c r="I84" i="29"/>
  <c r="I62" i="1" s="1"/>
  <c r="I41" i="1" s="1"/>
  <c r="I42" i="1" s="1"/>
  <c r="H22" i="1"/>
  <c r="M22" i="1"/>
  <c r="N22" i="1"/>
  <c r="M61" i="1"/>
  <c r="N61" i="1"/>
  <c r="J22" i="1"/>
  <c r="J23" i="1" s="1"/>
  <c r="I22" i="1"/>
  <c r="I23" i="1" s="1"/>
  <c r="J84" i="29"/>
  <c r="J62" i="1" s="1"/>
  <c r="J63" i="1" s="1"/>
  <c r="I63" i="1" l="1"/>
  <c r="N23" i="1"/>
  <c r="M23" i="1"/>
  <c r="H23" i="1"/>
  <c r="H63" i="1"/>
  <c r="N41" i="1"/>
  <c r="J41" i="1"/>
  <c r="J42" i="1" s="1"/>
  <c r="M41" i="1"/>
  <c r="M42" i="1" s="1"/>
  <c r="M62" i="1"/>
  <c r="M63" i="1" s="1"/>
  <c r="N62" i="1"/>
  <c r="N63" i="1" s="1"/>
  <c r="N42" i="1" l="1"/>
</calcChain>
</file>

<file path=xl/sharedStrings.xml><?xml version="1.0" encoding="utf-8"?>
<sst xmlns="http://schemas.openxmlformats.org/spreadsheetml/2006/main" count="1500" uniqueCount="666">
  <si>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</si>
  <si>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</si>
  <si>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</si>
  <si>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</si>
  <si>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</si>
  <si>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</si>
  <si>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</si>
  <si>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</si>
  <si>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</si>
  <si>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</si>
  <si>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</si>
  <si>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</si>
  <si>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</si>
  <si>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</si>
  <si>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</si>
  <si>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</si>
  <si>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</si>
  <si>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</si>
  <si>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</si>
  <si>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</si>
  <si>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</si>
  <si>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</si>
  <si>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</si>
  <si>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</si>
  <si>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</si>
  <si>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</si>
  <si>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</si>
  <si>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</si>
  <si>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</si>
  <si>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</si>
  <si>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</si>
  <si>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</si>
  <si>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</si>
  <si>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</si>
  <si>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</si>
  <si>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</si>
  <si>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</si>
  <si>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</si>
  <si>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</si>
  <si>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</si>
  <si>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</si>
  <si>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</si>
  <si>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</si>
  <si>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</si>
  <si>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</si>
  <si>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</si>
  <si>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</si>
  <si>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</si>
  <si>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</si>
  <si>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</si>
  <si>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</si>
  <si>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</si>
  <si>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</si>
  <si>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</si>
  <si>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</si>
  <si>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</si>
  <si>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</si>
  <si>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</si>
  <si>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</si>
  <si>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</si>
  <si>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</si>
  <si>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</si>
  <si>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</si>
  <si>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</si>
  <si>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</si>
  <si>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</si>
  <si>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</si>
  <si>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</si>
  <si>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</si>
  <si>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</si>
  <si>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</si>
  <si>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</si>
  <si>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</si>
  <si>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</si>
  <si>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</si>
  <si>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</si>
  <si>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</si>
  <si>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</si>
  <si>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</si>
  <si>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</si>
  <si>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</si>
  <si>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</si>
  <si>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</si>
  <si>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</si>
  <si>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</si>
  <si>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</si>
  <si>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</si>
  <si>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</si>
  <si>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</si>
  <si>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</si>
  <si>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</si>
  <si>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</si>
  <si>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</si>
  <si>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</si>
  <si>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</si>
  <si>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</si>
  <si>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</si>
  <si>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</si>
  <si>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</si>
  <si>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</si>
  <si>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</si>
  <si>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</si>
  <si>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</si>
  <si>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</si>
  <si>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</si>
  <si>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</si>
  <si>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</si>
  <si>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</si>
  <si>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</si>
  <si>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</si>
  <si>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</si>
  <si>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</si>
  <si>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</si>
  <si>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</si>
  <si>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</si>
  <si>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</si>
  <si>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</si>
  <si>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</si>
  <si>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</si>
  <si>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</si>
  <si>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</si>
  <si>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</si>
  <si>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</si>
  <si>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</si>
  <si>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</si>
  <si>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</si>
  <si>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</si>
  <si>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</si>
  <si>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</si>
  <si>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</si>
  <si>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</si>
  <si>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</si>
  <si>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</si>
  <si>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</si>
  <si>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</si>
  <si>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</si>
  <si>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</si>
  <si>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</si>
  <si>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</si>
  <si>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</si>
  <si>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</si>
  <si>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</si>
  <si>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</si>
  <si>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</si>
  <si>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</si>
  <si>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</si>
  <si>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</si>
  <si>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</si>
  <si>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</si>
  <si>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</si>
  <si>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</si>
  <si>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</si>
  <si>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</si>
  <si>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</si>
  <si>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</si>
  <si>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</si>
  <si>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</si>
  <si>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</si>
  <si>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</si>
  <si>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</si>
  <si>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</si>
  <si>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</si>
  <si>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</si>
  <si>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</si>
  <si>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</si>
  <si>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</si>
  <si>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</si>
  <si>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</si>
  <si>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</si>
  <si>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</si>
  <si>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</si>
  <si>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</si>
  <si>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</si>
  <si>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</si>
  <si>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</si>
  <si>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</si>
  <si>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</si>
  <si>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</si>
  <si>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</si>
  <si>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</si>
  <si>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</si>
  <si>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</si>
  <si>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</si>
  <si>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</si>
  <si>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</si>
  <si>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</si>
  <si>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</si>
  <si>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</si>
  <si>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</si>
  <si>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</si>
  <si>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</si>
  <si>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</si>
  <si>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</si>
  <si>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</si>
  <si>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</si>
  <si>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</si>
  <si>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</si>
  <si>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</si>
  <si>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</si>
  <si>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</si>
  <si>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</si>
  <si>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</si>
  <si>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</si>
  <si>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</si>
  <si>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</si>
  <si>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</si>
  <si>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</si>
  <si>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</si>
  <si>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</si>
  <si>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</si>
  <si>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</si>
  <si>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</si>
  <si>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</si>
  <si>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</si>
  <si>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</si>
  <si>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</si>
  <si>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</si>
  <si>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</si>
  <si>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</si>
  <si>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</si>
  <si>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</si>
  <si>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</si>
  <si>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</si>
  <si>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</si>
  <si>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</si>
  <si>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</si>
  <si>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</si>
  <si>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</si>
  <si>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</si>
  <si>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</si>
  <si>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</si>
  <si>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</si>
  <si>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</si>
  <si>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</si>
  <si>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</si>
  <si>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</si>
  <si>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</si>
  <si>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</si>
  <si>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</si>
  <si>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</si>
  <si>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</si>
  <si>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</si>
  <si>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</si>
  <si>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</si>
  <si>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</si>
  <si>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</si>
  <si>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</si>
  <si>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</si>
  <si>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</si>
  <si>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</si>
  <si>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</si>
  <si>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</si>
  <si>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</si>
  <si>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</si>
  <si>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</si>
  <si>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</si>
  <si>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</si>
  <si>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</si>
  <si>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</si>
  <si>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</si>
  <si>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</si>
  <si>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</si>
  <si>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</si>
  <si>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</si>
  <si>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</si>
  <si>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</si>
  <si>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</si>
  <si>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</si>
  <si>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</si>
  <si>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</si>
  <si>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</si>
  <si>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</si>
  <si>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</si>
  <si>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</si>
  <si>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</si>
  <si>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</si>
  <si>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</si>
  <si>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</si>
  <si>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</si>
  <si>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</si>
  <si>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</si>
  <si>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</si>
  <si>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</si>
  <si>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</si>
  <si>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</si>
  <si>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</si>
  <si>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</si>
  <si>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</si>
  <si>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</si>
  <si>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</si>
  <si>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</si>
  <si>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</si>
  <si>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</si>
  <si>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</si>
  <si>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</si>
  <si>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</si>
  <si>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</si>
  <si>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</si>
  <si>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</si>
  <si>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</si>
  <si>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</si>
  <si>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</si>
  <si>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</si>
  <si>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</si>
  <si>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</si>
  <si>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</si>
  <si>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</si>
  <si>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</si>
  <si>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</si>
  <si>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</si>
  <si>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</si>
  <si>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</si>
  <si>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</si>
  <si>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</si>
  <si>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</si>
  <si>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</si>
  <si>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</si>
  <si>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</si>
  <si>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</si>
  <si>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</si>
  <si>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</si>
  <si>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</si>
  <si>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</si>
  <si>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</si>
  <si>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</si>
  <si>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</si>
  <si>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</si>
  <si>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</si>
  <si>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</si>
  <si>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</si>
  <si>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</si>
  <si>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</si>
  <si>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</si>
  <si>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</si>
  <si>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</si>
  <si>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</si>
  <si>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</si>
  <si>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</si>
  <si>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</si>
  <si>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</si>
  <si>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</si>
  <si>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</si>
  <si>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</si>
  <si>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</si>
  <si>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</si>
  <si>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</si>
  <si>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</si>
  <si>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</si>
  <si>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</si>
  <si>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</si>
  <si>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</si>
  <si>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</si>
  <si>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5. Other adjustment (Overwrite)</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</si>
  <si>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</si>
  <si>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</si>
  <si>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</si>
  <si>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</si>
  <si>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</si>
  <si>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</si>
  <si>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</si>
  <si>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</si>
  <si>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</si>
  <si>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</si>
  <si>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</si>
  <si>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</si>
  <si>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</si>
  <si>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</si>
  <si>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</si>
  <si>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</si>
  <si>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</si>
  <si>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</si>
  <si>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</si>
  <si>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</si>
  <si>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</si>
  <si>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</si>
  <si>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</si>
  <si>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</si>
  <si>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</si>
  <si>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</si>
  <si>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</si>
  <si>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</si>
  <si>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</si>
  <si>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</si>
  <si>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</si>
  <si>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</si>
  <si>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</si>
  <si>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</si>
  <si>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</si>
  <si>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</si>
  <si>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</si>
  <si>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</si>
  <si>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</si>
  <si>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</si>
  <si>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</si>
  <si>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</si>
  <si>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</si>
  <si>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</si>
  <si>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</si>
  <si>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</si>
  <si>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</si>
  <si>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</si>
  <si>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</si>
  <si>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</si>
  <si>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</si>
  <si>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</si>
  <si>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</si>
  <si>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</si>
  <si>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</si>
  <si>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</si>
  <si>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</si>
  <si>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</si>
  <si>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</si>
  <si>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</si>
  <si>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</si>
  <si>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</si>
  <si>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</si>
  <si>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</si>
  <si>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</si>
  <si>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</si>
  <si>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</si>
  <si>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</si>
  <si>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</si>
  <si>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</si>
  <si>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</si>
  <si>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</si>
  <si>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</si>
  <si>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</si>
  <si>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</si>
  <si>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</si>
  <si>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</si>
  <si>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</si>
  <si>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</si>
  <si>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</si>
  <si>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</si>
  <si>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</si>
  <si>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</si>
  <si>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</si>
  <si>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</si>
  <si>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</si>
  <si>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</si>
  <si>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</si>
  <si>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</si>
  <si>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</si>
  <si>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</si>
  <si>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</si>
  <si>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</si>
  <si>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</si>
  <si>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</si>
  <si>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</si>
  <si>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</si>
  <si>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</si>
  <si>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</si>
  <si>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</si>
  <si>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</si>
  <si>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</si>
  <si>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</si>
  <si>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</si>
  <si>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</si>
  <si>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</si>
  <si>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</si>
  <si>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</si>
  <si>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</si>
  <si>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</si>
  <si>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</si>
  <si>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</si>
  <si>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</si>
  <si>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</si>
  <si>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</si>
  <si>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</si>
  <si>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</si>
  <si>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</si>
  <si>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</si>
  <si>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</si>
  <si>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</si>
  <si>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</si>
  <si>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</si>
  <si>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</si>
  <si>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</si>
  <si>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</si>
  <si>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</si>
  <si>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</si>
  <si>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</si>
  <si>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</si>
  <si>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</si>
  <si>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</si>
  <si>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</si>
  <si>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</si>
  <si>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</si>
  <si>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</si>
  <si>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</si>
  <si>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</si>
  <si>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</si>
  <si>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</si>
  <si>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</si>
  <si>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</si>
  <si>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</si>
  <si>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</si>
  <si>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</si>
  <si>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</si>
  <si>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</si>
  <si>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</si>
  <si>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</si>
  <si>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</si>
  <si>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</si>
  <si>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</si>
  <si>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</si>
  <si>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</si>
  <si>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</si>
  <si>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</si>
  <si>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</si>
  <si>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</si>
  <si>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</si>
  <si>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</si>
  <si>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</si>
  <si>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</si>
  <si>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</si>
  <si>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</si>
  <si>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</si>
  <si>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</si>
  <si>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</si>
  <si>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</si>
  <si>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</si>
  <si>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</si>
  <si>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</si>
  <si>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</si>
  <si>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</si>
  <si>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</si>
  <si>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</si>
  <si>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</si>
  <si>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</si>
  <si>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</si>
  <si>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</si>
  <si>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</si>
  <si>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</si>
  <si>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</si>
  <si>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</si>
  <si>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</si>
  <si>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</si>
  <si>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</si>
  <si>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</si>
  <si>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</si>
  <si>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</si>
  <si>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</si>
  <si>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</si>
  <si>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</si>
  <si>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</si>
  <si>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</si>
  <si>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</si>
  <si>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</si>
  <si>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</si>
  <si>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</si>
  <si>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</si>
  <si>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</si>
  <si>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</si>
  <si>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</si>
  <si>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</si>
  <si>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</si>
  <si>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</si>
  <si>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</si>
  <si>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</si>
  <si>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</si>
  <si>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</si>
  <si>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</si>
  <si>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</si>
  <si>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</si>
  <si>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</si>
  <si>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</si>
  <si>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</si>
  <si>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</si>
  <si>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</si>
  <si>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</si>
  <si>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</si>
  <si>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</si>
  <si>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</si>
  <si>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</si>
  <si>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</si>
  <si>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</si>
  <si>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</si>
  <si>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Changed the format of Column Q to be a RPI number to two decimal places, instead of a percentage</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</si>
  <si>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</si>
  <si>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</si>
  <si>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</si>
  <si>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</si>
  <si>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</si>
  <si>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</si>
  <si>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DPCR4 residual distribution losses incentive (WPD and SSE owned licencees)</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</si>
  <si>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</si>
  <si>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</si>
  <si>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</si>
  <si>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</si>
  <si>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</si>
  <si>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</si>
  <si>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</si>
  <si>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</si>
  <si>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</si>
  <si>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</si>
  <si>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</si>
  <si>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</si>
  <si>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</si>
  <si>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</si>
  <si>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</si>
  <si>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</si>
  <si>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</si>
  <si>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</si>
  <si>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</si>
  <si>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</si>
  <si>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SOLR and bad debt claims not in P&amp;L</t>
  </si>
  <si>
    <t>R3</t>
  </si>
  <si>
    <t>FRS101 adjustment - ARO</t>
  </si>
  <si>
    <t>IFRS16 Lease Interest Expense</t>
  </si>
  <si>
    <t>Interest capitalised</t>
  </si>
  <si>
    <t>Interest associated to Long term loans (Not for benefit of regulated business or distribution in nature)</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</si>
  <si>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</si>
  <si>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</si>
  <si>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</si>
  <si>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Dividend paid not related to Regulated business per WPD methodology</t>
  </si>
  <si>
    <t>R13</t>
  </si>
  <si>
    <t>2.0</t>
  </si>
  <si>
    <t>Following updated guidance &amp; clarification within the RIIO Regulatory Financial Performance Reporting – Regulatory Instructions and Guidance Version 2.0, published on the 16th of June 2020, Guaranteed Standard (GS) payments reported on row 19 have been adjusted to exclude Ex-gratia payments.</t>
  </si>
  <si>
    <t>A licence change associated to supplier bad debt has resulted in a prior year adjustment to 2019. This adjustment has been added into cells G42/G53 to accurately reflect the licence change impact.</t>
  </si>
  <si>
    <t>Pensions prepayment (See Appendices within RFPR commentary documentation)</t>
  </si>
  <si>
    <t>Rail Electrification (See Appendices within RFRS commentary documentation)</t>
  </si>
  <si>
    <t>4. [Insert adjustment as necessary]</t>
  </si>
  <si>
    <t>The 2019/20 SECV incentive reward is still to be assessed by Ofgem and therefore the 2020 Actuals has been forecast on the prior 3 year average.</t>
  </si>
  <si>
    <t>RPI true up</t>
  </si>
  <si>
    <t>DPCR5 legacy revenue adjustment</t>
  </si>
  <si>
    <t>Revenue profiling adjustment</t>
  </si>
  <si>
    <t>Enduring value adjustments</t>
  </si>
  <si>
    <t>Appendix 2</t>
  </si>
  <si>
    <t>Metering equipment and services</t>
  </si>
  <si>
    <t>Directly Remunerated Services (excluding metering)</t>
  </si>
  <si>
    <t>General transfers between DNOs not in Regs</t>
  </si>
  <si>
    <t xml:space="preserve">Cells E24 and F24 have been updated to include the latest actual RPI data, as directed by Varun Venaik via an email dated 06/07/2020. 
Cells G39 TO J39 have been updated to include May 2020 HMT Forecasts for UK Economy - M3 New Forecasts RPI, as directed by Varun Venaik via an email dated 06/07/2020.
Cells K63, L63, K64 and L64 have been updated to reflect a revised allowed cost of debt forecast %, as directed by Varun Venaik via an email dated 20/07/2020. </t>
  </si>
  <si>
    <t>The pre-determined formula in cell D37, = ('R8 - Net Debt'!D54-AVERAGE('R8 - Net Debt'!D8,('R8 - Net Debt'!E10-'R8a - Net Debt input'!T18)))*(Data!C36-1),  has been corrected and updated to =('R8 - Net Debt'!D54-AVERAGE('R8 - Net Debt'!D8,('R8 - Net Debt'!D10-'R8a - Net Debt input'!T18)))*(Data!C36-1). This followed the identification of an error whereby the prior formula was using the wrong year’s closing Cash, short term deposits and overdrafts (per Balance Sheet) (2016/17 rather than 2015/16).  This was agreed by Varun Venaik via email dated 22/07/2020.</t>
  </si>
  <si>
    <t>May 2020 Publication</t>
  </si>
  <si>
    <t>TIM neutral and Smart meter adjustments to Totex allowance</t>
  </si>
  <si>
    <t>Prior year adjustments to 2017, 2018 and 2019 have been made to pensions values, as highlighted to Ofgem and noted in email dated 23/07/2020. Further details can be found in the RFPR commentary.  
2017 = E35: -0.67, E36: +0.07 and +0.76. E54: -0.67, E55: +0.07
2018 = F35: +0.83, F36: -0.07 and -0.76. F54: +0.83, F55: -0.07</t>
  </si>
  <si>
    <t xml:space="preserve">Costs per the latest RRP submission in row 49 have been updated to the 2019/20 RRP submission. </t>
  </si>
  <si>
    <t>R4</t>
  </si>
  <si>
    <t>Row 12 has been updated to reflect the latest Totex actuals in the 2019/20 RRP, including the impact of the pensions adjustments as discusssed above. See commentary for more details.</t>
  </si>
  <si>
    <t>Row 13 has been updated to reflect allowances per the 2019 PCFM.</t>
  </si>
  <si>
    <t xml:space="preserve">Row 22 has been updated to reflect changes to the Pensions Prepayment Enduring Value adjustments, as a result of the pensions adjustments discussed above. See commentary for more details, and details of additional Enduring Value adjustments added and previous Enduring Value adjustments removed. </t>
  </si>
  <si>
    <t xml:space="preserve">Row 79 has been updated to reflect allowances per the 2019 PCFM. This has a consequent impact on rows 86 and 88 of table R10. </t>
  </si>
  <si>
    <t xml:space="preserve">Cell D8 has been updated to exclude restricted cash, as required in the updated RIGs. The same adjustment has been made in cell D47. </t>
  </si>
  <si>
    <t xml:space="preserve">Closing RAV in row 11 has been updated to the latest published PCFM, as per the RIGs. </t>
  </si>
  <si>
    <t xml:space="preserve">RAV additions in row 19 and RAV depreciation in row 22 have been updated to reflect RAV additions based on the 2019/20 RRP submission. Values in rows 20 and 23 have also been updated to reflect 2019/20 Enduring Value adjustments. </t>
  </si>
  <si>
    <t xml:space="preserve">There has been a minor change to the names of the non-regulatory segments in cells B16 and B17 to reflect the segments defined by Ofgem for the Regulatory Accounts in previous years. </t>
  </si>
  <si>
    <t>R10</t>
  </si>
  <si>
    <t xml:space="preserve">Enduring Value adjustments in row 34 have been updated to reflect changes to Enduring Value adjustments in 2019/20. </t>
  </si>
  <si>
    <t xml:space="preserve">Tax allowance per the latest PCFM in row 61 has been updated to the 2019 PCFM values. Forecast tax allowance in row 67 has been updated to reflect the 2019/20 RRP submission. This change is then reflected in Other adjustments in row 74. </t>
  </si>
  <si>
    <t>R12</t>
  </si>
  <si>
    <t xml:space="preserve">Prior year adjustments to 2017, 2018 and 2019 have been made to pensions values in cells E8:G8, E10:G10 and E11:G11, as highlighted to Ofgem and noted in email dated 23/07/2020. Further details can be found in the RFPR commentary. 
</t>
  </si>
  <si>
    <t>Additional Totex adjustment not in Reg Accounts</t>
  </si>
  <si>
    <t xml:space="preserve">Updated to reflect RRP resubmission - see change log for details. </t>
  </si>
  <si>
    <t xml:space="preserve">As a result of the changes above following the WPD RRP C&amp;V file resubmission to Ofgem, this has resulted in RoRE performance movements in 2019/20 and across forecast years associated with the impact on the RAV balances as described above. </t>
  </si>
  <si>
    <t>RFPR cover</t>
  </si>
  <si>
    <t xml:space="preserve">Version and Submitted date in cells C8 and C9 updated respectively to reflect this is a resubmission. </t>
  </si>
  <si>
    <t>Content &amp; Version Control</t>
  </si>
  <si>
    <t xml:space="preserve">Date submitted and changes in cells C10 and C10 updated respectively to reflect this is a resubmission. </t>
  </si>
  <si>
    <t>Cells B44 (text) and H44 (-£1.3m) have been included and cell H49 has been updated (prev: £348.5m; now £347.1m) following a WPD RRP C&amp;V file resubmission to Ofgem which updated the cost allocation of Network Policy, a sub activity in table C9 Core CAI, between the four WPD DNOs. An additional reconciling item, "Additional Totex adjustment not in Reg Accounts", has therefore been added to reflect this in the Totex reconciliation.</t>
  </si>
  <si>
    <t xml:space="preserve">The value in cell H19 has been updated (from £167.3m to £167.0m) and I22:J22 (movement &lt; 1 d.p.)  and K22 (from -£109.2m to -£109.1m) have been updated following a WPD RRP C&amp;V file resubmission to Ofgem which updated the cost allocation of Network Policy, a sub activity in table C9 Core CAI, between the four WPD DNOs. The RRP adjustment impacted Totex, which in turn impacts the RAV additions for 2019/20 and consequently depreciation for the following years. The impact of this will flow through to closing RAV and return calculations. </t>
  </si>
  <si>
    <t xml:space="preserve">As a result of the changes above following the WPD RRP C&amp;V file resubmission to Ofgem, the impact has flowed through to the forecast tax liability cell H37; forecast tax allowance cells H67:K67 and other adjustments cells H74:K74. Refreshing the tax workings as part of this process also resulted in a minor movement in cell J37 (H67 movement from £10.0m to £10.1m; H74 movement from £2.1m to £2.3m; all other movements &lt; 1 d.p.). </t>
  </si>
  <si>
    <t>Cell H12 has been updated (from £205.4m to £204.3m) following a WPD RRP C&amp;V file resubmission to Ofgem which updated the cost allocation of Network Policy, a sub activity in table C9 Core CAI, between the four WPD DNOs. This has in turn updated the Totex out(under)performance for 2019/20 actuals.</t>
  </si>
  <si>
    <t>OK</t>
  </si>
  <si>
    <t>NOT PUBLISHED</t>
  </si>
  <si>
    <t>Updated in 13/10/2010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</si>
</sst>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3">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FFFF00"/>
        <bgColor indexed="64"/>
      </patternFill>
    </fill>
  </fills>
  <borders count="13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16">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0" fontId="0" fillId="3" borderId="0" xfId="0" applyFont="1" applyFill="1" applyAlignment="1">
      <alignment horizontal="left" vertical="top" indent="1"/>
    </xf>
    <xf numFmtId="0" fontId="0" fillId="42" borderId="67" xfId="0" quotePrefix="1" applyFill="1" applyBorder="1" applyAlignment="1">
      <alignment horizontal="left" vertical="center" wrapText="1" indent="1"/>
    </xf>
    <xf numFmtId="172" fontId="0" fillId="0" borderId="0" xfId="0" applyNumberFormat="1" applyAlignment="1">
      <alignment horizontal="left" vertical="top"/>
    </xf>
    <xf numFmtId="172" fontId="5" fillId="3" borderId="135" xfId="2" applyNumberFormat="1" applyFont="1" applyFill="1" applyBorder="1"/>
    <xf numFmtId="14" fontId="5" fillId="3" borderId="135" xfId="2" applyNumberFormat="1" applyFont="1" applyFill="1" applyBorder="1"/>
    <xf numFmtId="0" fontId="5" fillId="3" borderId="135" xfId="2" applyNumberFormat="1" applyFont="1" applyFill="1" applyBorder="1" applyAlignment="1">
      <alignment horizontal="center" vertical="center"/>
    </xf>
    <xf numFmtId="0" fontId="0" fillId="3" borderId="0" xfId="0" applyFont="1" applyFill="1" applyAlignment="1">
      <alignment horizontal="left" vertical="top" indent="1"/>
    </xf>
    <xf numFmtId="173" fontId="0" fillId="52" borderId="64" xfId="0" applyNumberFormat="1" applyFill="1" applyBorder="1" applyAlignment="1">
      <alignment horizontal="right" vertical="top"/>
    </xf>
    <xf numFmtId="0" fontId="0" fillId="132" borderId="68" xfId="0" applyFill="1" applyBorder="1" applyAlignment="1">
      <alignment horizontal="left" vertical="top" wrapText="1"/>
    </xf>
    <xf numFmtId="0" fontId="0" fillId="132" borderId="0" xfId="0" applyFont="1" applyFill="1" applyAlignment="1">
      <alignment horizontal="left" vertical="top" indent="1"/>
    </xf>
    <xf numFmtId="172" fontId="0" fillId="132" borderId="68" xfId="0" applyNumberFormat="1" applyFill="1" applyBorder="1" applyAlignment="1">
      <alignment horizontal="right" vertical="top"/>
    </xf>
    <xf numFmtId="165" fontId="5" fillId="132" borderId="65" xfId="2" applyNumberFormat="1" applyFont="1" applyFill="1" applyBorder="1" applyAlignment="1">
      <alignment vertical="center"/>
    </xf>
    <xf numFmtId="0" fontId="5" fillId="0" borderId="30" xfId="7" applyFont="1" applyBorder="1" applyAlignment="1">
      <alignment horizontal="left" indent="1"/>
    </xf>
    <xf numFmtId="172" fontId="0" fillId="132" borderId="65" xfId="0" applyNumberFormat="1" applyFill="1" applyBorder="1" applyAlignment="1">
      <alignment horizontal="right" vertical="top"/>
    </xf>
    <xf numFmtId="351" fontId="0" fillId="0" borderId="0" xfId="0" applyNumberFormat="1" applyFill="1" applyAlignment="1">
      <alignment horizontal="center" vertical="top"/>
    </xf>
    <xf numFmtId="172" fontId="5" fillId="132" borderId="68" xfId="2" applyNumberFormat="1" applyFont="1" applyFill="1" applyBorder="1"/>
    <xf numFmtId="172" fontId="5" fillId="132" borderId="69" xfId="2" applyNumberFormat="1" applyFont="1" applyFill="1" applyBorder="1"/>
    <xf numFmtId="172" fontId="0" fillId="132" borderId="77" xfId="0" applyNumberFormat="1" applyFill="1" applyBorder="1" applyAlignment="1">
      <alignment horizontal="right" vertical="top"/>
    </xf>
    <xf numFmtId="172" fontId="5" fillId="132" borderId="64" xfId="2" applyNumberFormat="1" applyFont="1" applyFill="1" applyBorder="1"/>
    <xf numFmtId="172" fontId="5" fillId="132" borderId="70" xfId="2" applyNumberFormat="1" applyFont="1" applyFill="1" applyBorder="1"/>
    <xf numFmtId="0" fontId="0" fillId="132" borderId="68" xfId="0" applyFill="1" applyBorder="1" applyAlignment="1">
      <alignment horizontal="left" vertical="top" wrapText="1" indent="1"/>
    </xf>
    <xf numFmtId="0" fontId="5" fillId="132" borderId="30" xfId="75" applyNumberFormat="1" applyFont="1" applyFill="1" applyBorder="1" applyAlignment="1" applyProtection="1">
      <alignment vertical="center"/>
    </xf>
    <xf numFmtId="175" fontId="5" fillId="132" borderId="30" xfId="75" applyNumberFormat="1" applyFont="1" applyFill="1" applyBorder="1" applyAlignment="1" applyProtection="1">
      <alignment vertical="center"/>
    </xf>
    <xf numFmtId="175" fontId="5" fillId="132" borderId="30" xfId="75" applyNumberFormat="1" applyFont="1" applyFill="1" applyBorder="1" applyProtection="1"/>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5" fillId="132" borderId="30" xfId="75" applyNumberFormat="1" applyFont="1" applyFill="1" applyBorder="1" applyAlignment="1" applyProtection="1">
      <alignment horizontal="left" vertical="top" wrapText="1"/>
    </xf>
    <xf numFmtId="0" fontId="0" fillId="132" borderId="30" xfId="0" applyFill="1" applyBorder="1" applyAlignment="1">
      <alignment horizontal="left" vertical="top"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93">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86552/Forecomp_May_2020.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C10" sqref="C10"/>
    </sheetView>
  </sheetViews>
  <sheetFormatPr defaultRowHeight="12.6"/>
  <cols>
    <col min="1" max="1" width="8.36328125" customWidth="1"/>
    <col min="2" max="2" width="27.08984375" customWidth="1"/>
    <col min="3" max="6" width="14.08984375" customWidth="1"/>
    <col min="7" max="7" width="14.08984375" style="212" customWidth="1"/>
    <col min="8" max="11" width="14.08984375" customWidth="1"/>
  </cols>
  <sheetData>
    <row r="1" spans="1:11" s="31" customFormat="1" ht="21">
      <c r="A1" s="901" t="s">
        <v>307</v>
      </c>
      <c r="B1" s="902"/>
      <c r="C1" s="902"/>
      <c r="D1" s="903"/>
      <c r="E1" s="904"/>
      <c r="F1" s="902"/>
      <c r="G1" s="905"/>
      <c r="H1" s="902"/>
      <c r="I1" s="902"/>
      <c r="J1" s="902"/>
      <c r="K1" s="902"/>
    </row>
    <row r="2" spans="1:11" s="31" customFormat="1" ht="21">
      <c r="A2" s="901" t="str">
        <f>'RFPR cover'!C5</f>
        <v>WPD-SWEST</v>
      </c>
      <c r="B2" s="902"/>
      <c r="C2" s="902"/>
      <c r="D2" s="904"/>
      <c r="E2" s="904"/>
      <c r="F2" s="902"/>
      <c r="G2" s="905"/>
      <c r="H2" s="902"/>
      <c r="I2" s="902"/>
      <c r="J2" s="902"/>
      <c r="K2" s="902"/>
    </row>
    <row r="3" spans="1:11" s="31" customFormat="1" ht="21">
      <c r="A3" s="901">
        <f>'RFPR cover'!C7</f>
        <v>2020</v>
      </c>
      <c r="B3" s="902"/>
      <c r="C3" s="902"/>
      <c r="D3" s="904"/>
      <c r="E3" s="904"/>
      <c r="F3" s="902"/>
      <c r="G3" s="905"/>
      <c r="H3" s="902"/>
      <c r="I3" s="902"/>
      <c r="J3" s="902"/>
      <c r="K3" s="902"/>
    </row>
    <row r="4" spans="1:11" ht="13.8">
      <c r="A4" s="30"/>
      <c r="B4" s="30"/>
      <c r="C4" s="30"/>
      <c r="D4" s="30"/>
      <c r="E4" s="30"/>
      <c r="H4" s="10"/>
      <c r="I4" s="10"/>
      <c r="J4" s="10"/>
    </row>
    <row r="5" spans="1:11" ht="13.5" customHeight="1">
      <c r="A5" s="30"/>
      <c r="B5" s="78" t="s">
        <v>62</v>
      </c>
      <c r="C5" s="45" t="s">
        <v>249</v>
      </c>
      <c r="D5" s="338"/>
      <c r="E5" s="19"/>
      <c r="F5" s="11"/>
      <c r="G5" s="547" t="s">
        <v>0</v>
      </c>
      <c r="H5" s="10"/>
      <c r="I5" s="10"/>
      <c r="J5" s="10"/>
    </row>
    <row r="6" spans="1:11" ht="13.5" customHeight="1">
      <c r="A6" s="30"/>
      <c r="B6" s="78" t="s">
        <v>189</v>
      </c>
      <c r="C6" s="83" t="str">
        <f>INDEX(Data!$A$73:$A$100,MATCH($C$5,Data!$B$73:$B$100,0),0)&amp;"1"</f>
        <v>ED1</v>
      </c>
      <c r="D6" s="19"/>
      <c r="E6" s="19"/>
      <c r="F6" s="9"/>
      <c r="G6" s="547" t="s">
        <v>1</v>
      </c>
      <c r="H6" s="10"/>
      <c r="I6" s="10"/>
      <c r="J6" s="10"/>
    </row>
    <row r="7" spans="1:11" ht="25.8">
      <c r="A7" s="30"/>
      <c r="B7" s="79" t="s">
        <v>188</v>
      </c>
      <c r="C7" s="84">
        <v>2020</v>
      </c>
      <c r="D7" s="18"/>
      <c r="E7" s="19"/>
      <c r="F7" s="8"/>
      <c r="G7" s="548" t="s">
        <v>2</v>
      </c>
      <c r="H7" s="10"/>
      <c r="I7" s="10"/>
      <c r="J7" s="10"/>
    </row>
    <row r="8" spans="1:11" ht="13.8">
      <c r="A8" s="30"/>
      <c r="B8" s="954" t="s">
        <v>37</v>
      </c>
      <c r="C8" s="963">
        <v>2</v>
      </c>
      <c r="D8" s="19"/>
      <c r="E8" s="18"/>
      <c r="F8" s="7"/>
      <c r="G8" s="547" t="s">
        <v>3</v>
      </c>
      <c r="H8" s="10"/>
      <c r="I8" s="10"/>
      <c r="J8" s="10"/>
    </row>
    <row r="9" spans="1:11" ht="13.8">
      <c r="A9" s="30"/>
      <c r="B9" s="954" t="s">
        <v>38</v>
      </c>
      <c r="C9" s="964">
        <v>44117</v>
      </c>
      <c r="D9" s="18"/>
      <c r="E9" s="18"/>
      <c r="F9" s="6"/>
      <c r="G9" s="547" t="s">
        <v>4</v>
      </c>
      <c r="H9" s="10"/>
      <c r="I9" s="10"/>
      <c r="J9" s="10"/>
    </row>
    <row r="10" spans="1:11" ht="13.8">
      <c r="A10" s="30"/>
      <c r="B10" s="78" t="s">
        <v>70</v>
      </c>
      <c r="C10" s="85">
        <f>SUMIF(Data!$B$72:$B$100,C5,Data!$C$72:$C$100)</f>
        <v>6.4000000000000001E-2</v>
      </c>
      <c r="D10" s="18"/>
      <c r="E10" s="18"/>
      <c r="F10" s="5"/>
      <c r="G10" s="547" t="s">
        <v>5</v>
      </c>
      <c r="H10" s="10"/>
      <c r="I10" s="10"/>
      <c r="J10" s="10"/>
    </row>
    <row r="11" spans="1:11" ht="13.8">
      <c r="A11" s="30"/>
      <c r="B11" s="78" t="s">
        <v>71</v>
      </c>
      <c r="C11" s="86">
        <f>SUMIF(Data!$B$72:$B$100,C5,Data!$D$72:$D$100)</f>
        <v>0.7</v>
      </c>
      <c r="D11" s="19"/>
      <c r="E11" s="19"/>
      <c r="F11" s="4"/>
      <c r="G11" s="547" t="s">
        <v>6</v>
      </c>
      <c r="H11" s="10"/>
      <c r="I11" s="10"/>
      <c r="J11" s="10"/>
    </row>
    <row r="12" spans="1:11">
      <c r="A12" s="30"/>
      <c r="B12" s="78" t="s">
        <v>115</v>
      </c>
      <c r="C12" s="85">
        <f>SUMIF(Data!$B$72:$B$100,C5,Data!$E$72:$E$100)</f>
        <v>0.65</v>
      </c>
      <c r="D12" s="18"/>
      <c r="E12" s="18"/>
      <c r="F12" s="18"/>
      <c r="G12" s="549"/>
    </row>
    <row r="13" spans="1:11">
      <c r="A13" s="30"/>
      <c r="B13" s="78" t="s">
        <v>510</v>
      </c>
      <c r="C13" s="83">
        <f>INDEX(Data!$G$73:$G$100,MATCH($C$5,Data!$B$73:$B$100,0),0)</f>
        <v>2016</v>
      </c>
      <c r="D13" s="18"/>
      <c r="E13" s="18"/>
      <c r="F13" s="77" t="s">
        <v>191</v>
      </c>
    </row>
    <row r="14" spans="1:11">
      <c r="A14" s="30"/>
      <c r="B14" s="80" t="s">
        <v>185</v>
      </c>
      <c r="C14" s="83" t="str">
        <f>INDEX(Data!$H$73:$H$100,MATCH($C$5,Data!$B$73:$B$100,0),0)</f>
        <v>£m 12/13</v>
      </c>
      <c r="D14" s="18"/>
      <c r="E14" s="18"/>
      <c r="F14" s="88">
        <v>0.1</v>
      </c>
      <c r="G14" s="549"/>
    </row>
    <row r="15" spans="1:11">
      <c r="A15" s="30"/>
      <c r="B15" s="18"/>
      <c r="C15" s="18"/>
      <c r="D15" s="18"/>
      <c r="E15" s="18"/>
      <c r="F15" s="18"/>
      <c r="G15" s="549"/>
    </row>
    <row r="85" spans="1:1">
      <c r="A85" s="203"/>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R28"/>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79.453125" customWidth="1"/>
    <col min="3" max="3" width="14.08984375" style="135" customWidth="1"/>
    <col min="4" max="11" width="11.08984375" customWidth="1"/>
    <col min="12" max="12" width="5" customWidth="1"/>
  </cols>
  <sheetData>
    <row r="1" spans="1:18" s="31" customFormat="1" ht="21">
      <c r="A1" s="920" t="s">
        <v>100</v>
      </c>
      <c r="B1" s="916"/>
      <c r="C1" s="277"/>
      <c r="D1" s="255"/>
      <c r="E1" s="255"/>
      <c r="F1" s="255"/>
      <c r="G1" s="255"/>
      <c r="H1" s="255"/>
      <c r="I1" s="256"/>
      <c r="J1" s="256"/>
      <c r="K1" s="257"/>
      <c r="L1" s="258"/>
    </row>
    <row r="2" spans="1:18" s="31" customFormat="1" ht="21">
      <c r="A2" s="909" t="str">
        <f>'RFPR cover'!C5</f>
        <v>WPD-SWEST</v>
      </c>
      <c r="B2" s="901"/>
      <c r="C2" s="133"/>
      <c r="D2" s="29"/>
      <c r="E2" s="29"/>
      <c r="F2" s="29"/>
      <c r="G2" s="29"/>
      <c r="H2" s="29"/>
      <c r="I2" s="27"/>
      <c r="J2" s="27"/>
      <c r="K2" s="27"/>
      <c r="L2" s="122"/>
    </row>
    <row r="3" spans="1:18" s="37" customFormat="1" ht="22.8">
      <c r="A3" s="912">
        <f>'RFPR cover'!C7</f>
        <v>2020</v>
      </c>
      <c r="B3" s="918" t="str">
        <f>'R1 - RoRE'!B3</f>
        <v/>
      </c>
      <c r="C3" s="279"/>
      <c r="D3" s="278"/>
      <c r="E3" s="278"/>
      <c r="F3" s="278"/>
      <c r="G3" s="278"/>
      <c r="H3" s="278"/>
      <c r="I3" s="254"/>
      <c r="J3" s="254"/>
      <c r="K3" s="254"/>
      <c r="L3" s="260"/>
    </row>
    <row r="4" spans="1:18" s="2" customFormat="1" ht="12.75" customHeight="1">
      <c r="C4" s="135"/>
    </row>
    <row r="5" spans="1:18" s="2" customFormat="1">
      <c r="B5" s="3"/>
      <c r="C5" s="135"/>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row>
    <row r="6" spans="1:18" s="2" customFormat="1">
      <c r="C6" s="135"/>
      <c r="D6" s="116">
        <f>'RFPR cover'!$C$13</f>
        <v>2016</v>
      </c>
      <c r="E6" s="117">
        <f>D6+1</f>
        <v>2017</v>
      </c>
      <c r="F6" s="117">
        <f t="shared" ref="F6:K6" si="0">E6+1</f>
        <v>2018</v>
      </c>
      <c r="G6" s="117">
        <f t="shared" si="0"/>
        <v>2019</v>
      </c>
      <c r="H6" s="117">
        <f t="shared" si="0"/>
        <v>2020</v>
      </c>
      <c r="I6" s="117">
        <f t="shared" si="0"/>
        <v>2021</v>
      </c>
      <c r="J6" s="117">
        <f t="shared" si="0"/>
        <v>2022</v>
      </c>
      <c r="K6" s="117">
        <f t="shared" si="0"/>
        <v>2023</v>
      </c>
    </row>
    <row r="7" spans="1:18" s="2" customFormat="1">
      <c r="C7" s="135"/>
    </row>
    <row r="8" spans="1:18" s="2" customFormat="1">
      <c r="B8" s="51" t="s">
        <v>134</v>
      </c>
      <c r="C8" s="136"/>
      <c r="D8" s="57"/>
      <c r="E8" s="57"/>
      <c r="F8" s="57"/>
      <c r="G8" s="57"/>
      <c r="H8" s="57"/>
      <c r="I8" s="57"/>
      <c r="J8" s="57"/>
      <c r="K8" s="57"/>
    </row>
    <row r="9" spans="1:18" s="2" customFormat="1">
      <c r="B9" s="224" t="s">
        <v>517</v>
      </c>
      <c r="C9" s="151" t="s">
        <v>128</v>
      </c>
      <c r="D9" s="593">
        <v>0.49966421000000005</v>
      </c>
      <c r="E9" s="594">
        <v>1.2242102500000003</v>
      </c>
      <c r="F9" s="594">
        <v>1.6018000000000001</v>
      </c>
      <c r="G9" s="594">
        <v>1.0066999999999999</v>
      </c>
      <c r="H9" s="594">
        <v>1.5001570000000002</v>
      </c>
      <c r="I9" s="594">
        <v>1.6649693920177944</v>
      </c>
      <c r="J9" s="594">
        <v>1.5352792055397917</v>
      </c>
      <c r="K9" s="594">
        <v>1.3405318846924701</v>
      </c>
      <c r="P9" s="944"/>
      <c r="Q9" s="944"/>
      <c r="R9" s="944"/>
    </row>
    <row r="10" spans="1:18" s="2" customFormat="1">
      <c r="B10" s="224" t="s">
        <v>498</v>
      </c>
      <c r="C10" s="151" t="s">
        <v>128</v>
      </c>
      <c r="D10" s="595">
        <v>0</v>
      </c>
      <c r="E10" s="596">
        <v>0</v>
      </c>
      <c r="F10" s="596">
        <v>0</v>
      </c>
      <c r="G10" s="596">
        <v>0</v>
      </c>
      <c r="H10" s="596">
        <v>0</v>
      </c>
      <c r="I10" s="596">
        <v>0</v>
      </c>
      <c r="J10" s="596">
        <v>0</v>
      </c>
      <c r="K10" s="596">
        <v>0</v>
      </c>
      <c r="P10" s="944"/>
      <c r="Q10" s="944"/>
      <c r="R10" s="944"/>
    </row>
    <row r="11" spans="1:18" s="2" customFormat="1">
      <c r="B11" s="224" t="s">
        <v>516</v>
      </c>
      <c r="C11" s="151" t="s">
        <v>128</v>
      </c>
      <c r="D11" s="848">
        <v>4.1040129000000009E-2</v>
      </c>
      <c r="E11" s="849">
        <v>0.12242102500000003</v>
      </c>
      <c r="F11" s="849">
        <v>0.15378000000000003</v>
      </c>
      <c r="G11" s="849">
        <v>0.10067</v>
      </c>
      <c r="H11" s="849">
        <v>0.15001570000000003</v>
      </c>
      <c r="I11" s="849">
        <f>+I9*0.1</f>
        <v>0.16649693920177944</v>
      </c>
      <c r="J11" s="849">
        <f t="shared" ref="J11:K11" si="1">+J9*0.1</f>
        <v>0.15352792055397918</v>
      </c>
      <c r="K11" s="849">
        <f t="shared" si="1"/>
        <v>0.13405318846924702</v>
      </c>
      <c r="P11" s="944"/>
      <c r="Q11" s="944"/>
      <c r="R11" s="944"/>
    </row>
    <row r="12" spans="1:18" s="12" customFormat="1">
      <c r="B12" s="51" t="s">
        <v>132</v>
      </c>
      <c r="C12" s="151" t="s">
        <v>128</v>
      </c>
      <c r="D12" s="609">
        <f>D9-D10-D11</f>
        <v>0.45862408100000007</v>
      </c>
      <c r="E12" s="610">
        <f t="shared" ref="E12:K12" si="2">E9-E10-E11</f>
        <v>1.1017892250000003</v>
      </c>
      <c r="F12" s="610">
        <f t="shared" si="2"/>
        <v>1.4480200000000001</v>
      </c>
      <c r="G12" s="610">
        <f t="shared" si="2"/>
        <v>0.90602999999999989</v>
      </c>
      <c r="H12" s="610">
        <f t="shared" si="2"/>
        <v>1.3501413000000002</v>
      </c>
      <c r="I12" s="610">
        <f t="shared" si="2"/>
        <v>1.4984724528160149</v>
      </c>
      <c r="J12" s="610">
        <f t="shared" si="2"/>
        <v>1.3817512849858125</v>
      </c>
      <c r="K12" s="610">
        <f t="shared" si="2"/>
        <v>1.206478696223223</v>
      </c>
      <c r="L12" s="2"/>
    </row>
    <row r="13" spans="1:18" s="12" customFormat="1">
      <c r="B13" s="51"/>
      <c r="C13" s="135"/>
      <c r="D13" s="52"/>
      <c r="E13" s="52"/>
      <c r="F13" s="52"/>
      <c r="G13" s="52"/>
      <c r="H13" s="52"/>
      <c r="I13" s="52"/>
      <c r="J13" s="52"/>
      <c r="K13" s="52"/>
      <c r="L13" s="2"/>
    </row>
    <row r="14" spans="1:18" s="2" customFormat="1">
      <c r="B14" s="51" t="s">
        <v>156</v>
      </c>
      <c r="C14" s="136"/>
      <c r="D14" s="57"/>
      <c r="E14" s="57"/>
      <c r="F14" s="57"/>
      <c r="G14" s="57"/>
      <c r="H14" s="57"/>
      <c r="I14" s="57"/>
      <c r="J14" s="57"/>
      <c r="K14" s="57"/>
    </row>
    <row r="15" spans="1:18" s="2" customFormat="1" ht="13.2" customHeight="1">
      <c r="B15" s="224" t="s">
        <v>519</v>
      </c>
      <c r="C15" s="151" t="s">
        <v>128</v>
      </c>
      <c r="D15" s="593">
        <v>1.0900995600000001</v>
      </c>
      <c r="E15" s="594">
        <v>5.799675E-2</v>
      </c>
      <c r="F15" s="594">
        <v>0.16837228000000001</v>
      </c>
      <c r="G15" s="594">
        <v>0.45837662000000001</v>
      </c>
      <c r="H15" s="594">
        <v>6.3094600000000001E-2</v>
      </c>
      <c r="I15" s="594">
        <v>0</v>
      </c>
      <c r="J15" s="594">
        <v>0</v>
      </c>
      <c r="K15" s="594">
        <v>0</v>
      </c>
    </row>
    <row r="16" spans="1:18" s="2" customFormat="1">
      <c r="B16" s="224" t="s">
        <v>518</v>
      </c>
      <c r="C16" s="151" t="s">
        <v>128</v>
      </c>
      <c r="D16" s="595">
        <v>0</v>
      </c>
      <c r="E16" s="596">
        <v>0</v>
      </c>
      <c r="F16" s="596">
        <v>0</v>
      </c>
      <c r="G16" s="596">
        <v>0</v>
      </c>
      <c r="H16" s="596">
        <v>0</v>
      </c>
      <c r="I16" s="596">
        <v>0</v>
      </c>
      <c r="J16" s="596">
        <v>0</v>
      </c>
      <c r="K16" s="596">
        <v>0</v>
      </c>
    </row>
    <row r="17" spans="2:12" s="12" customFormat="1">
      <c r="B17" s="51" t="s">
        <v>133</v>
      </c>
      <c r="C17" s="151" t="s">
        <v>128</v>
      </c>
      <c r="D17" s="609">
        <f>D15-D16</f>
        <v>1.0900995600000001</v>
      </c>
      <c r="E17" s="609">
        <f t="shared" ref="E17:K17" si="3">E15-E16</f>
        <v>5.799675E-2</v>
      </c>
      <c r="F17" s="609">
        <f t="shared" si="3"/>
        <v>0.16837228000000001</v>
      </c>
      <c r="G17" s="609">
        <f t="shared" si="3"/>
        <v>0.45837662000000001</v>
      </c>
      <c r="H17" s="609">
        <f t="shared" si="3"/>
        <v>6.3094600000000001E-2</v>
      </c>
      <c r="I17" s="609">
        <f t="shared" si="3"/>
        <v>0</v>
      </c>
      <c r="J17" s="609">
        <f t="shared" si="3"/>
        <v>0</v>
      </c>
      <c r="K17" s="609">
        <f t="shared" si="3"/>
        <v>0</v>
      </c>
      <c r="L17" s="2"/>
    </row>
    <row r="18" spans="2:12" s="12" customFormat="1">
      <c r="B18" s="51"/>
      <c r="C18" s="135"/>
      <c r="D18" s="52"/>
      <c r="E18" s="52"/>
      <c r="F18" s="52"/>
      <c r="G18" s="52"/>
      <c r="H18" s="52"/>
      <c r="I18" s="52"/>
      <c r="J18" s="52"/>
      <c r="K18" s="52"/>
      <c r="L18" s="2"/>
    </row>
    <row r="19" spans="2:12" s="2" customFormat="1">
      <c r="B19" s="51" t="s">
        <v>157</v>
      </c>
      <c r="C19" s="136"/>
      <c r="D19" s="57"/>
      <c r="E19" s="57"/>
      <c r="F19" s="57"/>
      <c r="G19" s="57"/>
      <c r="H19" s="57"/>
      <c r="I19" s="57"/>
      <c r="J19" s="57"/>
      <c r="K19" s="57"/>
    </row>
    <row r="20" spans="2:12" s="2" customFormat="1">
      <c r="B20" s="224" t="s">
        <v>447</v>
      </c>
      <c r="C20" s="151" t="s">
        <v>128</v>
      </c>
      <c r="D20" s="593">
        <v>0</v>
      </c>
      <c r="E20" s="594">
        <v>0</v>
      </c>
      <c r="F20" s="594">
        <v>0</v>
      </c>
      <c r="G20" s="594">
        <v>0</v>
      </c>
      <c r="H20" s="594">
        <v>0</v>
      </c>
      <c r="I20" s="594">
        <v>0</v>
      </c>
      <c r="J20" s="594">
        <v>0</v>
      </c>
      <c r="K20" s="594">
        <v>0</v>
      </c>
    </row>
    <row r="21" spans="2:12" s="2" customFormat="1">
      <c r="B21" s="224" t="s">
        <v>516</v>
      </c>
      <c r="C21" s="151" t="s">
        <v>128</v>
      </c>
      <c r="D21" s="631">
        <v>0</v>
      </c>
      <c r="E21" s="632">
        <v>0</v>
      </c>
      <c r="F21" s="632">
        <v>0</v>
      </c>
      <c r="G21" s="632">
        <v>0</v>
      </c>
      <c r="H21" s="632">
        <v>0</v>
      </c>
      <c r="I21" s="632">
        <v>0</v>
      </c>
      <c r="J21" s="632">
        <v>0</v>
      </c>
      <c r="K21" s="632">
        <v>0</v>
      </c>
    </row>
    <row r="22" spans="2:12" s="2" customFormat="1">
      <c r="B22" s="35"/>
      <c r="C22" s="137"/>
      <c r="D22" s="35"/>
      <c r="E22" s="35"/>
      <c r="F22" s="35"/>
      <c r="G22" s="35"/>
      <c r="H22" s="35"/>
      <c r="I22" s="35"/>
      <c r="J22" s="35"/>
      <c r="K22" s="35"/>
    </row>
    <row r="23" spans="2:12" s="2" customFormat="1">
      <c r="B23" s="224" t="s">
        <v>501</v>
      </c>
      <c r="C23" s="151" t="s">
        <v>128</v>
      </c>
      <c r="D23" s="631">
        <v>0</v>
      </c>
      <c r="E23" s="632">
        <v>0.2</v>
      </c>
      <c r="F23" s="632">
        <v>0.4375</v>
      </c>
      <c r="G23" s="632">
        <v>0</v>
      </c>
      <c r="H23" s="632">
        <v>0</v>
      </c>
      <c r="I23" s="632">
        <v>0</v>
      </c>
      <c r="J23" s="632">
        <v>0</v>
      </c>
      <c r="K23" s="632">
        <v>0</v>
      </c>
    </row>
    <row r="24" spans="2:12" s="2" customFormat="1">
      <c r="B24" s="35"/>
      <c r="C24" s="137"/>
      <c r="D24" s="35"/>
      <c r="E24" s="35"/>
      <c r="F24" s="35"/>
      <c r="G24" s="35"/>
      <c r="H24" s="35"/>
      <c r="I24" s="35"/>
      <c r="J24" s="35"/>
      <c r="K24" s="35"/>
    </row>
    <row r="25" spans="2:12" s="2" customFormat="1">
      <c r="B25" s="81"/>
      <c r="C25" s="149"/>
      <c r="D25" s="81"/>
      <c r="E25" s="81"/>
      <c r="F25" s="81"/>
      <c r="G25" s="81"/>
      <c r="H25" s="81"/>
      <c r="I25" s="81"/>
      <c r="J25" s="81"/>
      <c r="K25" s="81"/>
      <c r="L25" s="81"/>
    </row>
    <row r="26" spans="2:12" s="2" customFormat="1">
      <c r="B26" s="35"/>
      <c r="C26" s="137"/>
      <c r="D26" s="35"/>
      <c r="E26" s="35"/>
      <c r="F26" s="35"/>
      <c r="G26" s="35"/>
      <c r="H26" s="35"/>
      <c r="I26" s="35"/>
      <c r="J26" s="35"/>
      <c r="K26" s="35"/>
    </row>
    <row r="27" spans="2:12" s="2" customFormat="1">
      <c r="B27" s="51" t="s">
        <v>393</v>
      </c>
      <c r="C27" s="137"/>
      <c r="D27" s="35"/>
      <c r="E27" s="35"/>
      <c r="F27" s="35"/>
      <c r="G27" s="35"/>
      <c r="H27" s="35"/>
      <c r="I27" s="35"/>
      <c r="J27" s="35"/>
      <c r="K27" s="35"/>
    </row>
    <row r="28" spans="2:12" s="2" customFormat="1">
      <c r="B28" s="224" t="s">
        <v>499</v>
      </c>
      <c r="C28" s="154" t="str">
        <f>'RFPR cover'!$C$14</f>
        <v>£m 12/13</v>
      </c>
      <c r="D28" s="679">
        <f>(SUM(D10,D11,D21)-D23)/Data!C34</f>
        <v>3.8705536932753359E-2</v>
      </c>
      <c r="E28" s="679">
        <f>(SUM(E10,E11,E21)-E23)/Data!D34</f>
        <v>-7.1630976437496205E-2</v>
      </c>
      <c r="F28" s="679">
        <f>(SUM(F10,F11,F21)-F23)/Data!E34</f>
        <v>-0.25251790053399681</v>
      </c>
      <c r="G28" s="679">
        <f>(SUM(G10,G11,G21)-G23)/Data!F34</f>
        <v>8.6942240423849668E-2</v>
      </c>
      <c r="H28" s="679">
        <f>(SUM(H10,H11,H21)-H23)/Data!G34</f>
        <v>0.12628970141101425</v>
      </c>
      <c r="I28" s="679">
        <f>(SUM(I10,I11,I21)-I23)/Data!H34</f>
        <v>0.13782135796656836</v>
      </c>
      <c r="J28" s="679">
        <f>(SUM(J10,J11,J21)-J23)/Data!I34</f>
        <v>0.12444159497213228</v>
      </c>
      <c r="K28" s="679">
        <f>(SUM(K10,K11,K21)-K23)/Data!J34</f>
        <v>0.10592874419889906</v>
      </c>
      <c r="L28" s="35"/>
    </row>
  </sheetData>
  <conditionalFormatting sqref="D6:K6">
    <cfRule type="expression" dxfId="50" priority="24">
      <formula>AND(D$5="Actuals",E$5="Forecast")</formula>
    </cfRule>
  </conditionalFormatting>
  <conditionalFormatting sqref="D5:K5">
    <cfRule type="expression" dxfId="49"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0" zoomScaleNormal="70" workbookViewId="0">
      <pane ySplit="6" topLeftCell="A7" activePane="bottomLeft" state="frozen"/>
      <selection activeCell="B75" sqref="A1:XFD1048576"/>
      <selection pane="bottomLeft" activeCell="B8" sqref="B8:M90"/>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20" t="s">
        <v>265</v>
      </c>
      <c r="B1" s="916"/>
      <c r="C1" s="255"/>
      <c r="D1" s="255"/>
      <c r="E1" s="255"/>
      <c r="F1" s="255"/>
      <c r="G1" s="255"/>
      <c r="H1" s="255"/>
      <c r="I1" s="256"/>
      <c r="J1" s="256"/>
      <c r="K1" s="257"/>
      <c r="L1" s="257"/>
      <c r="M1" s="257"/>
      <c r="N1" s="258"/>
    </row>
    <row r="2" spans="1:14" s="31" customFormat="1" ht="21">
      <c r="A2" s="909" t="str">
        <f>'RFPR cover'!C5</f>
        <v>WPD-SWEST</v>
      </c>
      <c r="B2" s="901"/>
      <c r="C2" s="29"/>
      <c r="D2" s="29"/>
      <c r="E2" s="29"/>
      <c r="F2" s="29"/>
      <c r="G2" s="29"/>
      <c r="H2" s="29"/>
      <c r="I2" s="27"/>
      <c r="J2" s="27"/>
      <c r="K2" s="27"/>
      <c r="L2" s="27"/>
      <c r="M2" s="27"/>
      <c r="N2" s="122"/>
    </row>
    <row r="3" spans="1:14" s="31" customFormat="1" ht="22.8">
      <c r="A3" s="912">
        <f>'RFPR cover'!C7</f>
        <v>2020</v>
      </c>
      <c r="B3" s="918" t="str">
        <f>'R1 - RoRE'!B3</f>
        <v/>
      </c>
      <c r="C3" s="259"/>
      <c r="D3" s="259"/>
      <c r="E3" s="259"/>
      <c r="F3" s="259"/>
      <c r="G3" s="259"/>
      <c r="H3" s="259"/>
      <c r="I3" s="254"/>
      <c r="J3" s="254"/>
      <c r="K3" s="254"/>
      <c r="L3" s="254"/>
      <c r="M3" s="254"/>
      <c r="N3" s="260"/>
    </row>
    <row r="4" spans="1:14" s="31" customFormat="1" ht="12.75" customHeight="1">
      <c r="A4" s="39"/>
      <c r="B4" s="39"/>
      <c r="C4" s="39"/>
      <c r="D4" s="39"/>
      <c r="E4" s="39"/>
      <c r="F4" s="39"/>
      <c r="G4" s="39"/>
      <c r="H4" s="39"/>
      <c r="I4" s="34"/>
      <c r="J4" s="34"/>
      <c r="K4" s="34"/>
      <c r="L4" s="33"/>
    </row>
    <row r="5" spans="1:14" s="2" customFormat="1">
      <c r="B5" s="3"/>
      <c r="C5" s="3"/>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row>
    <row r="6" spans="1:14" s="2" customFormat="1" ht="25.2">
      <c r="D6" s="116">
        <f>'RFPR cover'!$C$13</f>
        <v>2016</v>
      </c>
      <c r="E6" s="117">
        <f>D6+1</f>
        <v>2017</v>
      </c>
      <c r="F6" s="117">
        <f t="shared" ref="F6:K6" si="0">E6+1</f>
        <v>2018</v>
      </c>
      <c r="G6" s="117">
        <f t="shared" si="0"/>
        <v>2019</v>
      </c>
      <c r="H6" s="117">
        <f t="shared" si="0"/>
        <v>2020</v>
      </c>
      <c r="I6" s="117">
        <f t="shared" si="0"/>
        <v>2021</v>
      </c>
      <c r="J6" s="117">
        <f t="shared" si="0"/>
        <v>2022</v>
      </c>
      <c r="K6" s="194">
        <f t="shared" si="0"/>
        <v>2023</v>
      </c>
      <c r="L6" s="100" t="str">
        <f>"Cumulative to "&amp;'RFPR cover'!$C$7</f>
        <v>Cumulative to 2020</v>
      </c>
      <c r="M6" s="280" t="s">
        <v>109</v>
      </c>
    </row>
    <row r="7" spans="1:14" s="2" customFormat="1"/>
    <row r="8" spans="1:14">
      <c r="B8" s="478" t="s">
        <v>304</v>
      </c>
      <c r="C8" s="151" t="s">
        <v>128</v>
      </c>
      <c r="D8" s="347">
        <v>40.500406810000015</v>
      </c>
      <c r="E8" s="384">
        <v>40.643425529999988</v>
      </c>
      <c r="F8" s="384">
        <v>44.395337319999996</v>
      </c>
      <c r="G8" s="384">
        <v>42.347055789999999</v>
      </c>
      <c r="H8" s="384">
        <v>43.585552189999994</v>
      </c>
      <c r="I8" s="384">
        <v>42.569373324130162</v>
      </c>
      <c r="J8" s="384">
        <v>42.643563971047556</v>
      </c>
      <c r="K8" s="385">
        <v>43.043691698610097</v>
      </c>
      <c r="L8" s="35"/>
      <c r="M8" s="35"/>
    </row>
    <row r="9" spans="1:14">
      <c r="B9" s="14"/>
      <c r="C9" s="151"/>
      <c r="D9" s="228"/>
      <c r="E9" s="228"/>
      <c r="F9" s="228"/>
      <c r="G9" s="228"/>
      <c r="H9" s="228"/>
      <c r="I9" s="228"/>
      <c r="J9" s="228"/>
      <c r="K9" s="228"/>
      <c r="L9" s="35"/>
      <c r="M9" s="35"/>
    </row>
    <row r="10" spans="1:14">
      <c r="B10" s="14" t="s">
        <v>477</v>
      </c>
      <c r="C10" s="16"/>
      <c r="D10" s="229"/>
      <c r="E10" s="229"/>
      <c r="F10" s="229"/>
      <c r="G10" s="229"/>
      <c r="H10" s="229"/>
      <c r="I10" s="229"/>
      <c r="J10" s="229"/>
      <c r="K10" s="229"/>
      <c r="L10" s="35"/>
      <c r="M10" s="35"/>
    </row>
    <row r="11" spans="1:14">
      <c r="B11" s="368" t="s">
        <v>12</v>
      </c>
      <c r="C11" s="151" t="s">
        <v>128</v>
      </c>
      <c r="D11" s="376">
        <v>0</v>
      </c>
      <c r="E11" s="377">
        <v>0</v>
      </c>
      <c r="F11" s="377">
        <v>0</v>
      </c>
      <c r="G11" s="377">
        <v>0</v>
      </c>
      <c r="H11" s="377">
        <v>0</v>
      </c>
      <c r="I11" s="377">
        <v>0</v>
      </c>
      <c r="J11" s="377">
        <v>0</v>
      </c>
      <c r="K11" s="381">
        <v>0</v>
      </c>
      <c r="L11" s="35"/>
      <c r="M11" s="35"/>
    </row>
    <row r="12" spans="1:14">
      <c r="B12" s="368" t="s">
        <v>13</v>
      </c>
      <c r="C12" s="151" t="s">
        <v>128</v>
      </c>
      <c r="D12" s="346">
        <v>8.7971999999999995E-2</v>
      </c>
      <c r="E12" s="378">
        <v>8.7971999999999995E-2</v>
      </c>
      <c r="F12" s="378">
        <v>0.13120000000000001</v>
      </c>
      <c r="G12" s="378">
        <v>0.21774611999999999</v>
      </c>
      <c r="H12" s="378">
        <v>0.21774611999999999</v>
      </c>
      <c r="I12" s="378">
        <v>0.21774611999999999</v>
      </c>
      <c r="J12" s="378">
        <v>0.21774611999999999</v>
      </c>
      <c r="K12" s="382">
        <v>0.21774611999999999</v>
      </c>
      <c r="L12" s="35"/>
      <c r="M12" s="35"/>
    </row>
    <row r="13" spans="1:14">
      <c r="B13" s="368" t="s">
        <v>14</v>
      </c>
      <c r="C13" s="151" t="s">
        <v>128</v>
      </c>
      <c r="D13" s="346">
        <v>0</v>
      </c>
      <c r="E13" s="378">
        <v>0</v>
      </c>
      <c r="F13" s="378">
        <v>0</v>
      </c>
      <c r="G13" s="378">
        <v>0</v>
      </c>
      <c r="H13" s="378">
        <v>0</v>
      </c>
      <c r="I13" s="378">
        <v>0</v>
      </c>
      <c r="J13" s="378">
        <v>0</v>
      </c>
      <c r="K13" s="382">
        <v>0</v>
      </c>
      <c r="L13" s="35"/>
      <c r="M13" s="35"/>
    </row>
    <row r="14" spans="1:14">
      <c r="B14" s="368" t="s">
        <v>15</v>
      </c>
      <c r="C14" s="151" t="s">
        <v>128</v>
      </c>
      <c r="D14" s="346">
        <v>0</v>
      </c>
      <c r="E14" s="378">
        <v>0</v>
      </c>
      <c r="F14" s="378">
        <v>0</v>
      </c>
      <c r="G14" s="378">
        <v>0</v>
      </c>
      <c r="H14" s="378">
        <v>0</v>
      </c>
      <c r="I14" s="378">
        <v>0</v>
      </c>
      <c r="J14" s="378">
        <v>0</v>
      </c>
      <c r="K14" s="382">
        <v>0</v>
      </c>
      <c r="L14" s="35"/>
      <c r="M14" s="35"/>
    </row>
    <row r="15" spans="1:14">
      <c r="B15" s="368" t="s">
        <v>16</v>
      </c>
      <c r="C15" s="151" t="s">
        <v>128</v>
      </c>
      <c r="D15" s="346">
        <v>0</v>
      </c>
      <c r="E15" s="378">
        <v>0</v>
      </c>
      <c r="F15" s="378">
        <v>0</v>
      </c>
      <c r="G15" s="378">
        <v>0</v>
      </c>
      <c r="H15" s="378">
        <v>0</v>
      </c>
      <c r="I15" s="378">
        <v>0</v>
      </c>
      <c r="J15" s="378">
        <v>0</v>
      </c>
      <c r="K15" s="382">
        <v>0</v>
      </c>
      <c r="L15" s="35"/>
      <c r="M15" s="35"/>
    </row>
    <row r="16" spans="1:14">
      <c r="B16" s="368" t="s">
        <v>17</v>
      </c>
      <c r="C16" s="151" t="s">
        <v>128</v>
      </c>
      <c r="D16" s="346">
        <v>-7.7999999999999972</v>
      </c>
      <c r="E16" s="378">
        <v>-3.6968999999999994</v>
      </c>
      <c r="F16" s="378">
        <v>-1.962</v>
      </c>
      <c r="G16" s="378">
        <v>-2.044000000000004</v>
      </c>
      <c r="H16" s="378">
        <v>-0.19999999999999574</v>
      </c>
      <c r="I16" s="378">
        <v>-0.18816793821176248</v>
      </c>
      <c r="J16" s="378">
        <v>0.86111064099770118</v>
      </c>
      <c r="K16" s="382">
        <v>1.5002130496635075</v>
      </c>
      <c r="L16" s="35"/>
    </row>
    <row r="17" spans="2:12">
      <c r="B17" s="368" t="s">
        <v>283</v>
      </c>
      <c r="C17" s="151" t="s">
        <v>128</v>
      </c>
      <c r="D17" s="346">
        <v>-0.28404911999999999</v>
      </c>
      <c r="E17" s="378">
        <v>-0.28404912000000004</v>
      </c>
      <c r="F17" s="378">
        <v>-0.39200000000000002</v>
      </c>
      <c r="G17" s="378">
        <v>-0.60703012000000012</v>
      </c>
      <c r="H17" s="378">
        <v>-0.60702912000000009</v>
      </c>
      <c r="I17" s="378">
        <v>-0.60983171505469791</v>
      </c>
      <c r="J17" s="378">
        <v>-0.60983171505469769</v>
      </c>
      <c r="K17" s="382">
        <v>-0.60983171505469724</v>
      </c>
      <c r="L17" s="35"/>
    </row>
    <row r="18" spans="2:12" ht="12.75" customHeight="1">
      <c r="B18" s="368" t="s">
        <v>18</v>
      </c>
      <c r="C18" s="151" t="s">
        <v>128</v>
      </c>
      <c r="D18" s="346">
        <v>-0.35897534000000003</v>
      </c>
      <c r="E18" s="378">
        <v>-0.19304656000000001</v>
      </c>
      <c r="F18" s="378">
        <v>-0.29749999999999999</v>
      </c>
      <c r="G18" s="378">
        <v>-0.34300001000000002</v>
      </c>
      <c r="H18" s="378">
        <v>-0.32764603000000003</v>
      </c>
      <c r="I18" s="378">
        <v>-0.25228811688036312</v>
      </c>
      <c r="J18" s="378">
        <v>-0.27972674082429788</v>
      </c>
      <c r="K18" s="382">
        <v>-0.34300000000000003</v>
      </c>
      <c r="L18" s="35"/>
    </row>
    <row r="19" spans="2:12">
      <c r="B19" s="368" t="s">
        <v>610</v>
      </c>
      <c r="C19" s="151" t="s">
        <v>128</v>
      </c>
      <c r="D19" s="346">
        <v>0.30099999999999999</v>
      </c>
      <c r="E19" s="378">
        <v>0.46400000000000002</v>
      </c>
      <c r="F19" s="378">
        <v>0.64200000000000002</v>
      </c>
      <c r="G19" s="378">
        <v>2.0569999999999999</v>
      </c>
      <c r="H19" s="378">
        <v>0.45300000000000001</v>
      </c>
      <c r="I19" s="378">
        <v>0.69933333333333336</v>
      </c>
      <c r="J19" s="378">
        <v>0.76800000000000024</v>
      </c>
      <c r="K19" s="382">
        <v>0.76800000000000024</v>
      </c>
      <c r="L19" s="35"/>
    </row>
    <row r="20" spans="2:12">
      <c r="B20" s="368" t="s">
        <v>608</v>
      </c>
      <c r="C20" s="151" t="s">
        <v>128</v>
      </c>
      <c r="D20" s="346">
        <v>-0.22619999999999998</v>
      </c>
      <c r="E20" s="378">
        <v>-0.14218733000000003</v>
      </c>
      <c r="F20" s="378">
        <v>-0.16009999999999999</v>
      </c>
      <c r="G20" s="378">
        <v>-0.24894366000000004</v>
      </c>
      <c r="H20" s="378">
        <v>-0.19022700000000001</v>
      </c>
      <c r="I20" s="378">
        <v>-0.1744209666666667</v>
      </c>
      <c r="J20" s="378">
        <v>-0.17442096000000004</v>
      </c>
      <c r="K20" s="382">
        <v>-0.17442096000000004</v>
      </c>
      <c r="L20" s="35"/>
    </row>
    <row r="21" spans="2:12">
      <c r="B21" s="368" t="s">
        <v>611</v>
      </c>
      <c r="C21" s="151" t="s">
        <v>128</v>
      </c>
      <c r="D21" s="346">
        <v>0</v>
      </c>
      <c r="E21" s="378">
        <v>0</v>
      </c>
      <c r="F21" s="378">
        <v>0</v>
      </c>
      <c r="G21" s="378">
        <v>0.22053096</v>
      </c>
      <c r="H21" s="378">
        <v>0</v>
      </c>
      <c r="I21" s="378">
        <v>0</v>
      </c>
      <c r="J21" s="378">
        <v>0</v>
      </c>
      <c r="K21" s="382">
        <v>0</v>
      </c>
      <c r="L21" s="35"/>
    </row>
    <row r="22" spans="2:12">
      <c r="B22" s="368" t="s">
        <v>609</v>
      </c>
      <c r="C22" s="151" t="s">
        <v>128</v>
      </c>
      <c r="D22" s="346">
        <v>0</v>
      </c>
      <c r="E22" s="378">
        <v>0</v>
      </c>
      <c r="F22" s="378">
        <v>0</v>
      </c>
      <c r="G22" s="378">
        <v>0</v>
      </c>
      <c r="H22" s="378">
        <v>-3.3546410000000006E-2</v>
      </c>
      <c r="I22" s="378">
        <v>-2.8167000000000001E-2</v>
      </c>
      <c r="J22" s="378">
        <v>-2.7531E-2</v>
      </c>
      <c r="K22" s="382">
        <v>-2.6887000000000001E-2</v>
      </c>
      <c r="L22" s="35"/>
    </row>
    <row r="23" spans="2:12">
      <c r="B23" s="368" t="s">
        <v>352</v>
      </c>
      <c r="C23" s="151" t="s">
        <v>128</v>
      </c>
      <c r="D23" s="346">
        <v>0</v>
      </c>
      <c r="E23" s="378">
        <v>0</v>
      </c>
      <c r="F23" s="378">
        <v>0</v>
      </c>
      <c r="G23" s="378">
        <v>0</v>
      </c>
      <c r="H23" s="378">
        <v>0</v>
      </c>
      <c r="I23" s="378">
        <v>0</v>
      </c>
      <c r="J23" s="378">
        <v>0</v>
      </c>
      <c r="K23" s="382">
        <v>0</v>
      </c>
      <c r="L23" s="35"/>
    </row>
    <row r="24" spans="2:12">
      <c r="B24" s="368" t="s">
        <v>353</v>
      </c>
      <c r="C24" s="151" t="s">
        <v>128</v>
      </c>
      <c r="D24" s="346">
        <v>0</v>
      </c>
      <c r="E24" s="378">
        <v>0</v>
      </c>
      <c r="F24" s="378">
        <v>0</v>
      </c>
      <c r="G24" s="378">
        <v>0</v>
      </c>
      <c r="H24" s="378">
        <v>0</v>
      </c>
      <c r="I24" s="378">
        <v>0</v>
      </c>
      <c r="J24" s="378">
        <v>0</v>
      </c>
      <c r="K24" s="382">
        <v>0</v>
      </c>
      <c r="L24" s="35"/>
    </row>
    <row r="25" spans="2:12">
      <c r="B25" s="368" t="s">
        <v>354</v>
      </c>
      <c r="C25" s="151" t="s">
        <v>128</v>
      </c>
      <c r="D25" s="346">
        <v>0</v>
      </c>
      <c r="E25" s="378">
        <v>0</v>
      </c>
      <c r="F25" s="378">
        <v>0</v>
      </c>
      <c r="G25" s="378">
        <v>0</v>
      </c>
      <c r="H25" s="378">
        <v>0</v>
      </c>
      <c r="I25" s="378">
        <v>0</v>
      </c>
      <c r="J25" s="378">
        <v>0</v>
      </c>
      <c r="K25" s="382">
        <v>0</v>
      </c>
      <c r="L25" s="35"/>
    </row>
    <row r="26" spans="2:12">
      <c r="B26" s="368" t="s">
        <v>355</v>
      </c>
      <c r="C26" s="151" t="s">
        <v>128</v>
      </c>
      <c r="D26" s="346">
        <v>0</v>
      </c>
      <c r="E26" s="378">
        <v>0</v>
      </c>
      <c r="F26" s="378">
        <v>0</v>
      </c>
      <c r="G26" s="378">
        <v>0</v>
      </c>
      <c r="H26" s="378">
        <v>0</v>
      </c>
      <c r="I26" s="378">
        <v>0</v>
      </c>
      <c r="J26" s="378">
        <v>0</v>
      </c>
      <c r="K26" s="382">
        <v>0</v>
      </c>
      <c r="L26" s="35"/>
    </row>
    <row r="27" spans="2:12">
      <c r="B27" s="368" t="s">
        <v>356</v>
      </c>
      <c r="C27" s="151" t="s">
        <v>128</v>
      </c>
      <c r="D27" s="379">
        <v>0</v>
      </c>
      <c r="E27" s="380">
        <v>0</v>
      </c>
      <c r="F27" s="380">
        <v>0</v>
      </c>
      <c r="G27" s="380">
        <v>0</v>
      </c>
      <c r="H27" s="380">
        <v>0</v>
      </c>
      <c r="I27" s="380">
        <v>0</v>
      </c>
      <c r="J27" s="380">
        <v>0</v>
      </c>
      <c r="K27" s="383">
        <v>0</v>
      </c>
      <c r="L27" s="35"/>
    </row>
    <row r="28" spans="2:12">
      <c r="B28" s="13" t="s">
        <v>19</v>
      </c>
      <c r="C28" s="151" t="s">
        <v>128</v>
      </c>
      <c r="D28" s="141">
        <v>32.220154350000023</v>
      </c>
      <c r="E28" s="142">
        <v>36.879214519999991</v>
      </c>
      <c r="F28" s="142">
        <v>42.356937319999993</v>
      </c>
      <c r="G28" s="142">
        <v>41.599359079999999</v>
      </c>
      <c r="H28" s="142">
        <v>42.897849750000006</v>
      </c>
      <c r="I28" s="142">
        <v>42.233577040650005</v>
      </c>
      <c r="J28" s="142">
        <v>43.398910316166265</v>
      </c>
      <c r="K28" s="143">
        <v>44.375511193218905</v>
      </c>
      <c r="L28" s="35"/>
    </row>
    <row r="29" spans="2:12">
      <c r="B29" s="369" t="s">
        <v>540</v>
      </c>
      <c r="C29" s="151" t="s">
        <v>128</v>
      </c>
      <c r="D29" s="386"/>
      <c r="E29" s="387"/>
      <c r="F29" s="387"/>
      <c r="G29" s="680"/>
      <c r="H29" s="680"/>
      <c r="I29" s="680">
        <v>0</v>
      </c>
      <c r="J29" s="680">
        <v>0</v>
      </c>
      <c r="K29" s="681">
        <v>4.0560175000000012</v>
      </c>
      <c r="L29" s="35"/>
    </row>
    <row r="30" spans="2:12">
      <c r="B30" s="345" t="s">
        <v>305</v>
      </c>
      <c r="C30" s="151" t="s">
        <v>128</v>
      </c>
      <c r="D30" s="141">
        <v>32.220154350000023</v>
      </c>
      <c r="E30" s="142">
        <v>36.879214519999991</v>
      </c>
      <c r="F30" s="142">
        <v>42.356937319999993</v>
      </c>
      <c r="G30" s="142">
        <v>41.599359079999999</v>
      </c>
      <c r="H30" s="142">
        <v>42.897849750000006</v>
      </c>
      <c r="I30" s="142">
        <v>42.233577040650005</v>
      </c>
      <c r="J30" s="142">
        <v>43.398910316166265</v>
      </c>
      <c r="K30" s="143">
        <v>48.431528693218908</v>
      </c>
    </row>
    <row r="31" spans="2:12">
      <c r="B31" s="212" t="s">
        <v>21</v>
      </c>
      <c r="C31" s="151" t="s">
        <v>128</v>
      </c>
      <c r="D31" s="585">
        <v>34.432361430000022</v>
      </c>
      <c r="E31" s="586">
        <v>39.644638709999988</v>
      </c>
      <c r="F31" s="586">
        <v>45.093866389999995</v>
      </c>
      <c r="G31" s="586">
        <v>44.614114499999999</v>
      </c>
      <c r="H31" s="586">
        <v>45.644252400000006</v>
      </c>
      <c r="I31" s="586">
        <v>44.979979690650005</v>
      </c>
      <c r="J31" s="586">
        <v>46.145312966166266</v>
      </c>
      <c r="K31" s="682">
        <v>51.177931343218908</v>
      </c>
    </row>
    <row r="32" spans="2:12">
      <c r="B32" s="212" t="s">
        <v>471</v>
      </c>
      <c r="C32" s="151" t="s">
        <v>128</v>
      </c>
      <c r="D32" s="589">
        <v>-2.2122070800000002</v>
      </c>
      <c r="E32" s="590">
        <v>-2.7654241899999996</v>
      </c>
      <c r="F32" s="590">
        <v>-2.7369290700000004</v>
      </c>
      <c r="G32" s="590">
        <v>-3.0147554200000002</v>
      </c>
      <c r="H32" s="590">
        <v>-2.7464026499999994</v>
      </c>
      <c r="I32" s="590">
        <v>-2.7464026499999994</v>
      </c>
      <c r="J32" s="590">
        <v>-2.7464026499999994</v>
      </c>
      <c r="K32" s="683">
        <v>-2.7464026499999994</v>
      </c>
    </row>
    <row r="33" spans="2:14">
      <c r="B33" s="212"/>
      <c r="D33" s="225" t="s">
        <v>663</v>
      </c>
      <c r="E33" s="226" t="s">
        <v>663</v>
      </c>
      <c r="F33" s="226" t="s">
        <v>663</v>
      </c>
      <c r="G33" s="226" t="s">
        <v>663</v>
      </c>
      <c r="H33" s="226" t="s">
        <v>663</v>
      </c>
      <c r="I33" s="226" t="s">
        <v>663</v>
      </c>
      <c r="J33" s="226" t="s">
        <v>663</v>
      </c>
      <c r="K33" s="227" t="s">
        <v>663</v>
      </c>
    </row>
    <row r="34" spans="2:14">
      <c r="D34" s="23"/>
      <c r="E34" s="23"/>
      <c r="F34" s="23"/>
      <c r="G34" s="23"/>
      <c r="H34" s="23"/>
      <c r="I34" s="23"/>
      <c r="J34" s="23"/>
      <c r="K34" s="23"/>
    </row>
    <row r="35" spans="2:14">
      <c r="B35" s="212" t="s">
        <v>534</v>
      </c>
      <c r="C35" s="151" t="s">
        <v>128</v>
      </c>
      <c r="D35" s="585">
        <v>3.8227500000000001</v>
      </c>
      <c r="E35" s="586">
        <v>7.5352499999999996</v>
      </c>
      <c r="F35" s="586">
        <v>11.80575</v>
      </c>
      <c r="G35" s="586">
        <v>7.8704999999999998</v>
      </c>
      <c r="H35" s="586">
        <v>8.5455000000000005</v>
      </c>
      <c r="I35" s="586">
        <v>6.5352150000000009</v>
      </c>
      <c r="J35" s="586">
        <v>8.332399125000002</v>
      </c>
      <c r="K35" s="682">
        <v>9.5655941954999975</v>
      </c>
    </row>
    <row r="36" spans="2:14">
      <c r="D36" s="23"/>
      <c r="E36" s="23"/>
      <c r="F36" s="23"/>
      <c r="G36" s="23"/>
      <c r="H36" s="23"/>
      <c r="I36" s="23"/>
      <c r="J36" s="23"/>
      <c r="K36" s="23"/>
    </row>
    <row r="37" spans="2:14">
      <c r="B37" s="212" t="s">
        <v>82</v>
      </c>
      <c r="C37" s="151" t="s">
        <v>128</v>
      </c>
      <c r="D37" s="879">
        <v>8.287531049076696</v>
      </c>
      <c r="E37" s="879">
        <v>16.470620731248495</v>
      </c>
      <c r="F37" s="879">
        <v>33.076487731370598</v>
      </c>
      <c r="G37" s="879">
        <v>30.993280414138354</v>
      </c>
      <c r="H37" s="879">
        <v>26.470233114707472</v>
      </c>
      <c r="I37" s="879">
        <v>17.5111795427899</v>
      </c>
      <c r="J37" s="879">
        <v>22.050608001766172</v>
      </c>
      <c r="K37" s="879">
        <v>30.821971720394398</v>
      </c>
      <c r="N37" s="321"/>
    </row>
    <row r="38" spans="2:14" s="31" customFormat="1">
      <c r="B38" s="211"/>
      <c r="C38" s="821"/>
      <c r="D38" s="823"/>
      <c r="E38" s="823"/>
      <c r="F38" s="823"/>
      <c r="G38" s="823"/>
      <c r="H38" s="823"/>
      <c r="I38" s="823"/>
      <c r="J38" s="823"/>
      <c r="K38" s="823"/>
      <c r="L38"/>
      <c r="M38"/>
      <c r="N38" s="822"/>
    </row>
    <row r="39" spans="2:14">
      <c r="B39" s="212" t="s">
        <v>485</v>
      </c>
      <c r="C39" s="151" t="s">
        <v>128</v>
      </c>
      <c r="D39" s="101">
        <v>23.932623300923325</v>
      </c>
      <c r="E39" s="101">
        <v>20.408593788751496</v>
      </c>
      <c r="F39" s="101">
        <v>9.280449588629395</v>
      </c>
      <c r="G39" s="101">
        <v>10.606078665861645</v>
      </c>
      <c r="H39" s="101">
        <v>16.427616635292534</v>
      </c>
      <c r="I39" s="101">
        <v>24.722397497860104</v>
      </c>
      <c r="J39" s="101">
        <v>21.348302314400094</v>
      </c>
      <c r="K39" s="101">
        <v>17.60955697282451</v>
      </c>
    </row>
    <row r="40" spans="2:14">
      <c r="B40" s="212"/>
      <c r="C40" s="151"/>
      <c r="D40" s="151"/>
      <c r="E40" s="151"/>
      <c r="F40" s="151"/>
      <c r="G40" s="151"/>
      <c r="H40" s="151"/>
      <c r="I40" s="151"/>
      <c r="J40" s="151"/>
      <c r="K40" s="151"/>
      <c r="L40" s="151"/>
      <c r="N40" s="321"/>
    </row>
    <row r="41" spans="2:14">
      <c r="B41" s="851" t="s">
        <v>375</v>
      </c>
      <c r="C41" s="151" t="s">
        <v>127</v>
      </c>
      <c r="D41" s="504">
        <v>1.0603167467048125</v>
      </c>
      <c r="E41" s="504">
        <v>1.0830366813119445</v>
      </c>
      <c r="F41" s="504">
        <v>1.1235639113109226</v>
      </c>
      <c r="G41" s="504">
        <v>1.1578951670583426</v>
      </c>
      <c r="H41" s="504">
        <v>1.1878696229692449</v>
      </c>
      <c r="I41" s="504">
        <v>1.2080634065597218</v>
      </c>
      <c r="J41" s="504">
        <v>1.2337347539491161</v>
      </c>
      <c r="K41" s="504">
        <v>1.2655034238633056</v>
      </c>
      <c r="L41" s="151"/>
      <c r="N41" s="321"/>
    </row>
    <row r="42" spans="2:14">
      <c r="L42" s="154"/>
      <c r="M42" s="154"/>
      <c r="N42" s="154"/>
    </row>
    <row r="43" spans="2:14">
      <c r="B43" s="832" t="s">
        <v>431</v>
      </c>
      <c r="C43" s="155" t="s">
        <v>159</v>
      </c>
      <c r="D43" s="144">
        <v>22.571201836903612</v>
      </c>
      <c r="E43" s="145">
        <v>18.84386202324135</v>
      </c>
      <c r="F43" s="145">
        <v>8.2598323915560741</v>
      </c>
      <c r="G43" s="145">
        <v>9.1597918081017777</v>
      </c>
      <c r="H43" s="145">
        <v>13.829477846423437</v>
      </c>
      <c r="I43" s="145">
        <v>20.464486684737544</v>
      </c>
      <c r="J43" s="145">
        <v>17.30380233357727</v>
      </c>
      <c r="K43" s="146">
        <v>13.915060710832673</v>
      </c>
      <c r="L43" s="688">
        <v>72.664165906226259</v>
      </c>
      <c r="M43" s="689">
        <v>124.34751563537375</v>
      </c>
    </row>
    <row r="44" spans="2:14">
      <c r="B44" s="212"/>
      <c r="C44" s="66"/>
      <c r="D44" s="804"/>
      <c r="E44" s="804"/>
      <c r="F44" s="804"/>
      <c r="G44" s="804"/>
      <c r="H44" s="804"/>
      <c r="I44" s="804"/>
      <c r="J44" s="804"/>
      <c r="K44" s="804"/>
      <c r="L44" s="827"/>
      <c r="M44" s="827"/>
    </row>
    <row r="45" spans="2:14">
      <c r="B45" s="832" t="s">
        <v>522</v>
      </c>
      <c r="C45" s="151"/>
      <c r="D45" s="804"/>
      <c r="E45" s="804"/>
      <c r="F45" s="804"/>
      <c r="G45" s="804"/>
      <c r="H45" s="804"/>
      <c r="I45" s="804"/>
      <c r="J45" s="804"/>
      <c r="K45" s="804"/>
      <c r="L45" s="827"/>
      <c r="M45" s="827"/>
    </row>
    <row r="46" spans="2:14">
      <c r="B46" s="368" t="s">
        <v>506</v>
      </c>
      <c r="C46" s="151" t="s">
        <v>128</v>
      </c>
      <c r="D46" s="878">
        <v>0.28404911999999999</v>
      </c>
      <c r="E46" s="878">
        <v>0.28404912000000004</v>
      </c>
      <c r="F46" s="878">
        <v>0.39200000000000002</v>
      </c>
      <c r="G46" s="878">
        <v>0.60703012000000012</v>
      </c>
      <c r="H46" s="878">
        <v>0.60702912000000009</v>
      </c>
      <c r="I46" s="878">
        <v>0.60983171505469791</v>
      </c>
      <c r="J46" s="878">
        <v>0.60983171505469769</v>
      </c>
      <c r="K46" s="878">
        <v>0.60983171505469724</v>
      </c>
      <c r="L46" s="688">
        <v>2.1741574800000003</v>
      </c>
      <c r="M46" s="688">
        <v>4.0036526251640927</v>
      </c>
    </row>
    <row r="47" spans="2:14">
      <c r="B47" s="368" t="s">
        <v>543</v>
      </c>
      <c r="C47" s="151" t="s">
        <v>128</v>
      </c>
      <c r="D47" s="386"/>
      <c r="E47" s="387"/>
      <c r="F47" s="387"/>
      <c r="G47" s="680"/>
      <c r="H47" s="680"/>
      <c r="I47" s="680">
        <v>0</v>
      </c>
      <c r="J47" s="680">
        <v>0</v>
      </c>
      <c r="K47" s="680">
        <v>8.1120350000000031E-4</v>
      </c>
      <c r="L47" s="688">
        <v>0</v>
      </c>
      <c r="M47" s="688">
        <v>8.1120350000000031E-4</v>
      </c>
    </row>
    <row r="48" spans="2:14">
      <c r="B48" s="368" t="s">
        <v>525</v>
      </c>
      <c r="C48" s="151" t="s">
        <v>128</v>
      </c>
      <c r="D48" s="878">
        <v>0</v>
      </c>
      <c r="E48" s="878">
        <v>0</v>
      </c>
      <c r="F48" s="878">
        <v>0</v>
      </c>
      <c r="G48" s="878">
        <v>0</v>
      </c>
      <c r="H48" s="878">
        <v>0</v>
      </c>
      <c r="I48" s="878">
        <v>0</v>
      </c>
      <c r="J48" s="878">
        <v>0</v>
      </c>
      <c r="K48" s="878">
        <v>0</v>
      </c>
      <c r="L48" s="688">
        <v>0</v>
      </c>
      <c r="M48" s="688">
        <v>0</v>
      </c>
    </row>
    <row r="49" spans="1:14">
      <c r="B49" s="368" t="s">
        <v>526</v>
      </c>
      <c r="C49" s="151" t="s">
        <v>128</v>
      </c>
      <c r="D49" s="878">
        <v>0</v>
      </c>
      <c r="E49" s="878">
        <v>0</v>
      </c>
      <c r="F49" s="878">
        <v>0</v>
      </c>
      <c r="G49" s="878">
        <v>0</v>
      </c>
      <c r="H49" s="878">
        <v>0</v>
      </c>
      <c r="I49" s="878">
        <v>0</v>
      </c>
      <c r="J49" s="878">
        <v>0</v>
      </c>
      <c r="K49" s="878">
        <v>0</v>
      </c>
      <c r="L49" s="688">
        <v>0</v>
      </c>
      <c r="M49" s="688">
        <v>0</v>
      </c>
    </row>
    <row r="50" spans="1:14">
      <c r="B50" s="368" t="s">
        <v>507</v>
      </c>
      <c r="C50" s="151" t="s">
        <v>128</v>
      </c>
      <c r="D50" s="878">
        <v>0</v>
      </c>
      <c r="E50" s="878">
        <v>0</v>
      </c>
      <c r="F50" s="878">
        <v>0</v>
      </c>
      <c r="G50" s="878">
        <v>0</v>
      </c>
      <c r="H50" s="878">
        <v>0</v>
      </c>
      <c r="I50" s="878">
        <v>0</v>
      </c>
      <c r="J50" s="878">
        <v>0</v>
      </c>
      <c r="K50" s="878">
        <v>0</v>
      </c>
      <c r="L50" s="688">
        <v>0</v>
      </c>
      <c r="M50" s="688">
        <v>0</v>
      </c>
    </row>
    <row r="51" spans="1:14">
      <c r="B51" s="368" t="s">
        <v>507</v>
      </c>
      <c r="C51" s="151" t="s">
        <v>128</v>
      </c>
      <c r="D51" s="878">
        <v>0</v>
      </c>
      <c r="E51" s="878">
        <v>0</v>
      </c>
      <c r="F51" s="878">
        <v>0</v>
      </c>
      <c r="G51" s="878">
        <v>0</v>
      </c>
      <c r="H51" s="878">
        <v>0</v>
      </c>
      <c r="I51" s="878">
        <v>0</v>
      </c>
      <c r="J51" s="878">
        <v>0</v>
      </c>
      <c r="K51" s="878">
        <v>0</v>
      </c>
      <c r="L51" s="688">
        <v>0</v>
      </c>
      <c r="M51" s="688">
        <v>0</v>
      </c>
    </row>
    <row r="52" spans="1:14">
      <c r="B52" s="368" t="s">
        <v>507</v>
      </c>
      <c r="C52" s="151" t="s">
        <v>128</v>
      </c>
      <c r="D52" s="878">
        <v>0</v>
      </c>
      <c r="E52" s="878">
        <v>0</v>
      </c>
      <c r="F52" s="878">
        <v>0</v>
      </c>
      <c r="G52" s="878">
        <v>0</v>
      </c>
      <c r="H52" s="878">
        <v>0</v>
      </c>
      <c r="I52" s="878">
        <v>0</v>
      </c>
      <c r="J52" s="878">
        <v>0</v>
      </c>
      <c r="K52" s="878">
        <v>0</v>
      </c>
      <c r="L52" s="688">
        <v>0</v>
      </c>
      <c r="M52" s="688">
        <v>0</v>
      </c>
    </row>
    <row r="53" spans="1:14">
      <c r="B53" s="368" t="s">
        <v>507</v>
      </c>
      <c r="C53" s="151" t="s">
        <v>128</v>
      </c>
      <c r="D53" s="878">
        <v>0</v>
      </c>
      <c r="E53" s="878">
        <v>0</v>
      </c>
      <c r="F53" s="878">
        <v>0</v>
      </c>
      <c r="G53" s="878">
        <v>0</v>
      </c>
      <c r="H53" s="878">
        <v>0</v>
      </c>
      <c r="I53" s="878">
        <v>0</v>
      </c>
      <c r="J53" s="878">
        <v>0</v>
      </c>
      <c r="K53" s="878">
        <v>0</v>
      </c>
      <c r="L53" s="688">
        <v>0</v>
      </c>
      <c r="M53" s="688">
        <v>0</v>
      </c>
    </row>
    <row r="54" spans="1:14" s="863" customFormat="1">
      <c r="B54" s="862"/>
      <c r="C54" s="864"/>
      <c r="D54" s="865"/>
      <c r="E54" s="865"/>
      <c r="F54" s="865"/>
      <c r="G54" s="865"/>
      <c r="H54" s="865"/>
      <c r="I54" s="865"/>
      <c r="J54" s="865"/>
      <c r="K54" s="865"/>
      <c r="L54" s="866"/>
      <c r="M54" s="866"/>
    </row>
    <row r="55" spans="1:14">
      <c r="B55" s="857" t="s">
        <v>523</v>
      </c>
      <c r="C55" s="234" t="s">
        <v>128</v>
      </c>
      <c r="D55" s="144">
        <v>0.28404911999999999</v>
      </c>
      <c r="E55" s="144">
        <v>0.28404912000000004</v>
      </c>
      <c r="F55" s="144">
        <v>0.39200000000000002</v>
      </c>
      <c r="G55" s="144">
        <v>0.60703012000000012</v>
      </c>
      <c r="H55" s="144">
        <v>0.60702912000000009</v>
      </c>
      <c r="I55" s="144">
        <v>0.60983171505469791</v>
      </c>
      <c r="J55" s="144">
        <v>0.60983171505469769</v>
      </c>
      <c r="K55" s="144">
        <v>0.61064291855469721</v>
      </c>
      <c r="L55" s="688">
        <v>2.1741574800000003</v>
      </c>
      <c r="M55" s="689">
        <v>4.0044638286640932</v>
      </c>
    </row>
    <row r="56" spans="1:14">
      <c r="B56" s="857" t="s">
        <v>523</v>
      </c>
      <c r="C56" s="155" t="s">
        <v>159</v>
      </c>
      <c r="D56" s="144">
        <v>0.26789081742106824</v>
      </c>
      <c r="E56" s="144">
        <v>0.26227100605301296</v>
      </c>
      <c r="F56" s="144">
        <v>0.34888981040930062</v>
      </c>
      <c r="G56" s="144">
        <v>0.52425309066810699</v>
      </c>
      <c r="H56" s="144">
        <v>0.5110233549727845</v>
      </c>
      <c r="I56" s="144">
        <v>0.50480108224729203</v>
      </c>
      <c r="J56" s="144">
        <v>0.49429726535842522</v>
      </c>
      <c r="K56" s="144">
        <v>0.48252964554654282</v>
      </c>
      <c r="L56" s="688">
        <v>1.9143280795242734</v>
      </c>
      <c r="M56" s="689">
        <v>3.3959560726765332</v>
      </c>
    </row>
    <row r="57" spans="1:14">
      <c r="B57" s="212"/>
      <c r="C57" s="66"/>
      <c r="D57" s="804"/>
      <c r="E57" s="804"/>
      <c r="F57" s="804"/>
      <c r="G57" s="804"/>
      <c r="H57" s="804"/>
      <c r="I57" s="804"/>
      <c r="J57" s="804"/>
      <c r="K57" s="804"/>
      <c r="L57" s="827"/>
      <c r="M57" s="827"/>
    </row>
    <row r="58" spans="1:14" s="2" customFormat="1">
      <c r="A58" s="1"/>
    </row>
    <row r="59" spans="1:14" s="2" customFormat="1">
      <c r="A59" s="1"/>
      <c r="B59" s="828" t="s">
        <v>441</v>
      </c>
      <c r="C59" s="81"/>
      <c r="D59" s="81"/>
      <c r="E59" s="81"/>
      <c r="F59" s="81"/>
      <c r="G59" s="81"/>
      <c r="H59" s="81"/>
      <c r="I59" s="81"/>
      <c r="J59" s="81"/>
      <c r="K59" s="81"/>
      <c r="L59" s="81"/>
      <c r="M59" s="81"/>
      <c r="N59" s="81"/>
    </row>
    <row r="60" spans="1:14" s="2" customFormat="1">
      <c r="A60" s="1"/>
      <c r="B60" s="367" t="s">
        <v>442</v>
      </c>
    </row>
    <row r="61" spans="1:14" s="2" customFormat="1">
      <c r="A61" s="1"/>
    </row>
    <row r="62" spans="1:14" s="31" customFormat="1">
      <c r="B62" s="212" t="s">
        <v>115</v>
      </c>
      <c r="C62" s="154" t="s">
        <v>7</v>
      </c>
      <c r="D62" s="887">
        <v>0.65</v>
      </c>
      <c r="E62" s="888">
        <v>0.65</v>
      </c>
      <c r="F62" s="888">
        <v>0.65</v>
      </c>
      <c r="G62" s="888">
        <v>0.65</v>
      </c>
      <c r="H62" s="888">
        <v>0.65</v>
      </c>
      <c r="I62" s="888">
        <v>0.65</v>
      </c>
      <c r="J62" s="888">
        <v>0.65</v>
      </c>
      <c r="K62" s="889">
        <v>0.65</v>
      </c>
      <c r="N62" s="822"/>
    </row>
    <row r="63" spans="1:14" s="31" customFormat="1">
      <c r="B63" s="212" t="s">
        <v>404</v>
      </c>
      <c r="C63" s="154" t="s">
        <v>7</v>
      </c>
      <c r="D63" s="888">
        <v>0.56417818057479296</v>
      </c>
      <c r="E63" s="888">
        <v>0.59213988226033953</v>
      </c>
      <c r="F63" s="888">
        <v>0.59258626137640169</v>
      </c>
      <c r="G63" s="888">
        <v>0.59541798047962713</v>
      </c>
      <c r="H63" s="888">
        <v>0.60699394606448154</v>
      </c>
      <c r="I63" s="888">
        <v>0.61061533733346751</v>
      </c>
      <c r="J63" s="888">
        <v>0.57502544545507128</v>
      </c>
      <c r="K63" s="889">
        <v>0.571336554119247</v>
      </c>
      <c r="N63" s="822"/>
    </row>
    <row r="64" spans="1:14" s="31" customFormat="1">
      <c r="B64" s="212"/>
      <c r="C64" s="154"/>
      <c r="D64" s="154"/>
      <c r="E64" s="154"/>
      <c r="F64" s="154"/>
      <c r="G64" s="154"/>
      <c r="H64" s="154"/>
      <c r="I64" s="154"/>
      <c r="J64" s="154"/>
      <c r="K64" s="154"/>
      <c r="N64" s="822"/>
    </row>
    <row r="65" spans="2:15">
      <c r="B65" s="212" t="s">
        <v>431</v>
      </c>
      <c r="C65" s="151" t="s">
        <v>128</v>
      </c>
      <c r="D65" s="94">
        <v>23.932623300923325</v>
      </c>
      <c r="E65" s="95">
        <v>20.408593788751496</v>
      </c>
      <c r="F65" s="95">
        <v>9.280449588629395</v>
      </c>
      <c r="G65" s="95">
        <v>10.606078665861645</v>
      </c>
      <c r="H65" s="95">
        <v>16.427616635292534</v>
      </c>
      <c r="I65" s="95">
        <v>24.722397497860104</v>
      </c>
      <c r="J65" s="95">
        <v>21.348302314400094</v>
      </c>
      <c r="K65" s="96">
        <v>17.60955697282451</v>
      </c>
      <c r="L65" s="31"/>
      <c r="M65" s="31"/>
    </row>
    <row r="66" spans="2:15" s="31" customFormat="1">
      <c r="B66" s="212" t="s">
        <v>449</v>
      </c>
      <c r="C66" s="151" t="s">
        <v>128</v>
      </c>
      <c r="D66" s="94">
        <v>3.6405897037896064</v>
      </c>
      <c r="E66" s="94">
        <v>1.9941971059448027</v>
      </c>
      <c r="F66" s="94">
        <v>0.89915231202534796</v>
      </c>
      <c r="G66" s="94">
        <v>0.97226017982921586</v>
      </c>
      <c r="H66" s="94">
        <v>1.1639110597889895</v>
      </c>
      <c r="I66" s="94">
        <v>1.5945935619848381</v>
      </c>
      <c r="J66" s="94">
        <v>2.7834932679299618</v>
      </c>
      <c r="K66" s="94">
        <v>2.4245401802642212</v>
      </c>
      <c r="N66" s="822"/>
    </row>
    <row r="67" spans="2:15">
      <c r="B67" s="212" t="s">
        <v>448</v>
      </c>
      <c r="C67" s="151" t="s">
        <v>128</v>
      </c>
      <c r="D67" s="101">
        <v>27.573213004712933</v>
      </c>
      <c r="E67" s="102">
        <v>22.402790894696299</v>
      </c>
      <c r="F67" s="102">
        <v>10.179601900654744</v>
      </c>
      <c r="G67" s="102">
        <v>11.578338845690862</v>
      </c>
      <c r="H67" s="102">
        <v>17.591527695081524</v>
      </c>
      <c r="I67" s="102">
        <v>26.316991059844941</v>
      </c>
      <c r="J67" s="102">
        <v>24.131795582330057</v>
      </c>
      <c r="K67" s="103">
        <v>20.03409715308873</v>
      </c>
      <c r="L67" s="31"/>
      <c r="M67" s="31"/>
    </row>
    <row r="68" spans="2:15">
      <c r="B68" s="212"/>
      <c r="C68" s="151"/>
      <c r="D68" s="151"/>
      <c r="E68" s="151"/>
      <c r="F68" s="151"/>
      <c r="G68" s="151"/>
      <c r="H68" s="151"/>
      <c r="I68" s="151"/>
      <c r="J68" s="151"/>
      <c r="K68" s="151"/>
      <c r="L68" s="151"/>
      <c r="M68" s="151"/>
      <c r="N68" s="151"/>
      <c r="O68" s="151"/>
    </row>
    <row r="69" spans="2:15">
      <c r="B69" s="832" t="s">
        <v>448</v>
      </c>
      <c r="C69" s="155" t="s">
        <v>159</v>
      </c>
      <c r="D69" s="144">
        <v>26.004694437207824</v>
      </c>
      <c r="E69" s="145">
        <v>20.685163560257731</v>
      </c>
      <c r="F69" s="145">
        <v>9.0601004519428301</v>
      </c>
      <c r="G69" s="145">
        <v>9.9994707423348856</v>
      </c>
      <c r="H69" s="145">
        <v>14.809308492214036</v>
      </c>
      <c r="I69" s="145">
        <v>21.78444518470226</v>
      </c>
      <c r="J69" s="145">
        <v>19.559954443275206</v>
      </c>
      <c r="K69" s="146">
        <v>15.830930817973615</v>
      </c>
      <c r="L69" s="688">
        <v>80.558737683957304</v>
      </c>
      <c r="M69" s="689">
        <v>137.73406812990839</v>
      </c>
    </row>
    <row r="70" spans="2:15">
      <c r="B70" s="370" t="s">
        <v>524</v>
      </c>
      <c r="C70" s="158" t="s">
        <v>159</v>
      </c>
      <c r="D70" s="94">
        <v>0.30864191016088066</v>
      </c>
      <c r="E70" s="94">
        <v>0.28789844940643111</v>
      </c>
      <c r="F70" s="94">
        <v>0.38269259945262091</v>
      </c>
      <c r="G70" s="94">
        <v>0.57231141837499344</v>
      </c>
      <c r="H70" s="94">
        <v>0.54722980828053225</v>
      </c>
      <c r="I70" s="94">
        <v>0.53736073006883467</v>
      </c>
      <c r="J70" s="94">
        <v>0.55874609553792376</v>
      </c>
      <c r="K70" s="94">
        <v>0.54896587194347501</v>
      </c>
      <c r="L70" s="684">
        <v>2.0987741856754587</v>
      </c>
      <c r="M70" s="685">
        <v>3.7438468832256926</v>
      </c>
      <c r="N70" s="154"/>
    </row>
    <row r="72" spans="2:15">
      <c r="B72" s="824" t="s">
        <v>318</v>
      </c>
      <c r="C72" s="825"/>
      <c r="D72" s="825"/>
      <c r="E72" s="825"/>
      <c r="F72" s="825"/>
      <c r="G72" s="825"/>
      <c r="H72" s="825"/>
      <c r="I72" s="825"/>
      <c r="J72" s="825"/>
      <c r="K72" s="825"/>
      <c r="L72" s="825"/>
      <c r="M72" s="825"/>
      <c r="N72" s="825"/>
      <c r="O72" s="154"/>
    </row>
    <row r="73" spans="2:15" s="31" customFormat="1">
      <c r="B73" s="826"/>
      <c r="C73" s="66"/>
      <c r="D73" s="66"/>
      <c r="E73" s="66"/>
      <c r="F73" s="66"/>
      <c r="G73" s="66"/>
      <c r="H73" s="66"/>
      <c r="I73" s="66"/>
      <c r="J73" s="66"/>
      <c r="K73" s="66"/>
      <c r="L73" s="66"/>
      <c r="M73" s="66"/>
      <c r="N73" s="66"/>
      <c r="O73" s="66"/>
    </row>
    <row r="74" spans="2:15">
      <c r="B74" s="367" t="s">
        <v>478</v>
      </c>
      <c r="C74" s="366"/>
      <c r="D74" s="366"/>
      <c r="E74" s="366"/>
      <c r="F74" s="366"/>
      <c r="G74" s="366"/>
      <c r="H74" s="366"/>
      <c r="I74" s="366"/>
      <c r="J74" s="366"/>
      <c r="K74" s="366"/>
      <c r="L74" s="366"/>
      <c r="M74" s="366"/>
      <c r="N74" s="366"/>
      <c r="O74" s="154"/>
    </row>
    <row r="75" spans="2:15">
      <c r="B75" s="367" t="s">
        <v>347</v>
      </c>
      <c r="C75" s="366"/>
      <c r="D75" s="366"/>
      <c r="E75" s="366"/>
      <c r="F75" s="366"/>
      <c r="G75" s="366"/>
      <c r="H75" s="366"/>
      <c r="I75" s="366"/>
      <c r="J75" s="366"/>
      <c r="K75" s="366"/>
      <c r="L75" s="366"/>
      <c r="M75" s="366"/>
      <c r="N75" s="366"/>
      <c r="O75" s="154"/>
    </row>
    <row r="76" spans="2:15">
      <c r="B76" s="367" t="s">
        <v>348</v>
      </c>
      <c r="C76" s="366"/>
      <c r="D76" s="366"/>
      <c r="E76" s="366"/>
      <c r="F76" s="366"/>
      <c r="G76" s="366"/>
      <c r="H76" s="366"/>
      <c r="I76" s="366"/>
      <c r="J76" s="366"/>
      <c r="K76" s="366"/>
      <c r="L76" s="366"/>
      <c r="M76" s="366"/>
      <c r="N76" s="366"/>
      <c r="O76" s="154"/>
    </row>
    <row r="77" spans="2:15">
      <c r="B77" s="367" t="s">
        <v>530</v>
      </c>
      <c r="C77" s="366"/>
      <c r="D77" s="366"/>
      <c r="E77" s="366"/>
      <c r="F77" s="366"/>
      <c r="G77" s="366"/>
      <c r="H77" s="366"/>
      <c r="I77" s="366"/>
      <c r="J77" s="366"/>
      <c r="K77" s="366"/>
      <c r="L77" s="366"/>
      <c r="M77" s="366"/>
      <c r="N77" s="366"/>
      <c r="O77" s="154"/>
    </row>
    <row r="78" spans="2:15" s="31" customFormat="1">
      <c r="B78" s="371"/>
      <c r="C78" s="371"/>
      <c r="D78" s="371"/>
      <c r="E78" s="371"/>
      <c r="F78" s="371"/>
      <c r="G78" s="371"/>
      <c r="H78" s="371"/>
      <c r="I78" s="371"/>
      <c r="J78" s="371"/>
      <c r="K78" s="371"/>
      <c r="L78" s="371"/>
      <c r="M78" s="371"/>
      <c r="N78" s="371"/>
      <c r="O78" s="66"/>
    </row>
    <row r="79" spans="2:15">
      <c r="B79" s="370" t="s">
        <v>233</v>
      </c>
      <c r="C79" s="154" t="s">
        <v>159</v>
      </c>
      <c r="D79" s="596">
        <v>20.094824973280261</v>
      </c>
      <c r="E79" s="596">
        <v>19.686832831973117</v>
      </c>
      <c r="F79" s="596">
        <v>19.174308028611318</v>
      </c>
      <c r="G79" s="596">
        <v>17.104048990610327</v>
      </c>
      <c r="H79" s="596">
        <v>14.64178456490172</v>
      </c>
      <c r="I79" s="596">
        <v>10.448250449297278</v>
      </c>
      <c r="J79" s="896"/>
      <c r="K79" s="899"/>
      <c r="L79" s="897"/>
      <c r="M79" s="897"/>
      <c r="O79" s="66"/>
    </row>
    <row r="80" spans="2:15">
      <c r="B80" s="370" t="s">
        <v>317</v>
      </c>
      <c r="C80" s="154" t="s">
        <v>159</v>
      </c>
      <c r="D80" s="686">
        <v>20.094824973280261</v>
      </c>
      <c r="E80" s="687">
        <v>19.688088710494203</v>
      </c>
      <c r="F80" s="687">
        <v>19.141422583992846</v>
      </c>
      <c r="G80" s="687">
        <v>17.056083807980936</v>
      </c>
      <c r="H80" s="687">
        <v>14.612705025625598</v>
      </c>
      <c r="I80" s="687">
        <v>10.42096909930441</v>
      </c>
      <c r="J80" s="687">
        <v>7.6308241264502685</v>
      </c>
      <c r="K80" s="898">
        <v>4.7489403501671488</v>
      </c>
      <c r="L80" s="900">
        <v>90.593125101373857</v>
      </c>
      <c r="M80" s="900">
        <v>113.39385867729568</v>
      </c>
      <c r="O80" s="66"/>
    </row>
    <row r="81" spans="2:15" s="31" customFormat="1">
      <c r="B81" s="829"/>
      <c r="C81" s="66"/>
      <c r="D81" s="830"/>
      <c r="E81" s="830"/>
      <c r="F81" s="830"/>
      <c r="G81" s="830"/>
      <c r="H81" s="830"/>
      <c r="I81" s="830"/>
      <c r="J81" s="830"/>
      <c r="K81" s="830"/>
      <c r="L81" s="827"/>
      <c r="M81" s="827"/>
      <c r="O81" s="66"/>
    </row>
    <row r="82" spans="2:15" s="31" customFormat="1">
      <c r="B82" s="829"/>
      <c r="C82" s="66"/>
      <c r="D82" s="830"/>
      <c r="E82" s="831"/>
      <c r="F82" s="831"/>
      <c r="G82" s="831"/>
      <c r="H82" s="831"/>
      <c r="I82" s="831"/>
      <c r="J82" s="831"/>
      <c r="K82" s="831"/>
      <c r="L82" s="827"/>
      <c r="M82" s="827"/>
      <c r="O82" s="66"/>
    </row>
    <row r="83" spans="2:15">
      <c r="B83" s="833" t="s">
        <v>432</v>
      </c>
      <c r="C83" s="825"/>
      <c r="D83" s="825"/>
      <c r="E83" s="825"/>
      <c r="F83" s="825"/>
      <c r="G83" s="825"/>
      <c r="H83" s="825"/>
      <c r="I83" s="825"/>
      <c r="J83" s="825"/>
      <c r="K83" s="825"/>
      <c r="L83" s="825"/>
      <c r="M83" s="825"/>
      <c r="N83" s="825"/>
    </row>
    <row r="84" spans="2:15">
      <c r="B84" s="370"/>
      <c r="C84" s="154"/>
      <c r="D84" s="154"/>
      <c r="E84" s="154"/>
      <c r="F84" s="154"/>
      <c r="G84" s="154"/>
      <c r="H84" s="154"/>
      <c r="I84" s="154"/>
      <c r="J84" s="154"/>
      <c r="K84" s="154"/>
      <c r="L84" s="154"/>
      <c r="M84" s="154"/>
      <c r="N84" s="154"/>
    </row>
    <row r="85" spans="2:15">
      <c r="B85" s="852" t="s">
        <v>486</v>
      </c>
      <c r="C85" s="154"/>
      <c r="D85" s="154"/>
      <c r="E85" s="154"/>
      <c r="F85" s="154"/>
      <c r="G85" s="154"/>
      <c r="H85" s="154"/>
      <c r="I85" s="154"/>
      <c r="J85" s="154"/>
      <c r="K85" s="154"/>
      <c r="L85" s="154"/>
      <c r="M85" s="154"/>
      <c r="N85" s="154"/>
    </row>
    <row r="86" spans="2:15">
      <c r="B86" s="212" t="s">
        <v>487</v>
      </c>
      <c r="C86" s="154" t="s">
        <v>159</v>
      </c>
      <c r="D86" s="144">
        <v>-2.7442676810444189</v>
      </c>
      <c r="E86" s="144">
        <v>0.58195568119983987</v>
      </c>
      <c r="F86" s="144">
        <v>10.532700382027471</v>
      </c>
      <c r="G86" s="144">
        <v>7.3720389092110521</v>
      </c>
      <c r="H86" s="144">
        <v>0.27220382422937628</v>
      </c>
      <c r="I86" s="144">
        <v>-10.548318667680427</v>
      </c>
      <c r="J86" s="144">
        <v>-10.167275472485427</v>
      </c>
      <c r="K86" s="144">
        <v>-9.6486500062120655</v>
      </c>
      <c r="L86" s="688">
        <v>16.01463111562332</v>
      </c>
      <c r="M86" s="689">
        <v>-14.349613030754599</v>
      </c>
    </row>
    <row r="87" spans="2:15">
      <c r="B87" s="212"/>
    </row>
    <row r="88" spans="2:15">
      <c r="B88" s="212" t="s">
        <v>488</v>
      </c>
      <c r="C88" s="154" t="s">
        <v>159</v>
      </c>
      <c r="D88" s="144">
        <v>-6.2185113740884441</v>
      </c>
      <c r="E88" s="144">
        <v>-1.2849732991699596</v>
      </c>
      <c r="F88" s="144">
        <v>9.6986295325973941</v>
      </c>
      <c r="G88" s="144">
        <v>6.4843016472710575</v>
      </c>
      <c r="H88" s="144">
        <v>-0.74383327486897088</v>
      </c>
      <c r="I88" s="144">
        <v>-11.900836815466686</v>
      </c>
      <c r="J88" s="144">
        <v>-12.487876412362862</v>
      </c>
      <c r="K88" s="144">
        <v>-11.630956339749941</v>
      </c>
      <c r="L88" s="688">
        <v>7.9356132317410779</v>
      </c>
      <c r="M88" s="689">
        <v>-28.084056335838412</v>
      </c>
    </row>
    <row r="89" spans="2:15">
      <c r="B89" s="212"/>
    </row>
    <row r="90" spans="2:15">
      <c r="B90" s="212" t="s">
        <v>489</v>
      </c>
      <c r="C90" s="154" t="s">
        <v>159</v>
      </c>
      <c r="D90" s="144">
        <v>3.4742436930440252</v>
      </c>
      <c r="E90" s="144">
        <v>1.8669289803697995</v>
      </c>
      <c r="F90" s="144">
        <v>0.83407084943007703</v>
      </c>
      <c r="G90" s="144">
        <v>0.88773726193999458</v>
      </c>
      <c r="H90" s="144">
        <v>1.0160370990983472</v>
      </c>
      <c r="I90" s="144">
        <v>1.3525181477862596</v>
      </c>
      <c r="J90" s="144">
        <v>2.3206009398774352</v>
      </c>
      <c r="K90" s="144">
        <v>1.9823063335378759</v>
      </c>
      <c r="L90" s="688">
        <v>8.0790178838822442</v>
      </c>
      <c r="M90" s="689">
        <v>13.734443305083815</v>
      </c>
    </row>
    <row r="91" spans="2:15">
      <c r="B91" s="199"/>
    </row>
  </sheetData>
  <conditionalFormatting sqref="D6:K6">
    <cfRule type="expression" dxfId="48" priority="22">
      <formula>AND(D$5="Actuals",E$5="Forecast")</formula>
    </cfRule>
  </conditionalFormatting>
  <conditionalFormatting sqref="D5:K5">
    <cfRule type="expression" dxfId="47" priority="15">
      <formula>AND(D$5="Actuals",E$5="Forecast")</formula>
    </cfRule>
  </conditionalFormatting>
  <conditionalFormatting sqref="D29:G29 I29:K29">
    <cfRule type="expression" dxfId="46" priority="13">
      <formula>D$5="Forecast"</formula>
    </cfRule>
    <cfRule type="expression" dxfId="45" priority="14">
      <formula>D$5="Actuals"</formula>
    </cfRule>
  </conditionalFormatting>
  <conditionalFormatting sqref="D47:G47">
    <cfRule type="expression" dxfId="44" priority="7">
      <formula>D$5="Forecast"</formula>
    </cfRule>
    <cfRule type="expression" dxfId="43" priority="8">
      <formula>D$5="Actuals"</formula>
    </cfRule>
  </conditionalFormatting>
  <conditionalFormatting sqref="I47:K47">
    <cfRule type="expression" dxfId="42" priority="5">
      <formula>I$5="Forecast"</formula>
    </cfRule>
    <cfRule type="expression" dxfId="41" priority="6">
      <formula>I$5="Actuals"</formula>
    </cfRule>
  </conditionalFormatting>
  <conditionalFormatting sqref="H47">
    <cfRule type="expression" dxfId="40" priority="3">
      <formula>H$5="Forecast"</formula>
    </cfRule>
    <cfRule type="expression" dxfId="39" priority="4">
      <formula>H$5="Actuals"</formula>
    </cfRule>
  </conditionalFormatting>
  <conditionalFormatting sqref="H29">
    <cfRule type="expression" dxfId="38" priority="1">
      <formula>H$5="Forecast"</formula>
    </cfRule>
    <cfRule type="expression" dxfId="37"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70" zoomScaleNormal="70" workbookViewId="0">
      <pane ySplit="6" topLeftCell="A7" activePane="bottomLeft" state="frozen"/>
      <selection activeCell="B3" sqref="B3"/>
      <selection pane="bottomLeft" activeCell="B8" sqref="B8:K66"/>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6" t="s">
        <v>237</v>
      </c>
      <c r="B1" s="916"/>
      <c r="C1" s="255"/>
      <c r="D1" s="255"/>
      <c r="E1" s="255"/>
      <c r="F1" s="255"/>
      <c r="G1" s="255"/>
      <c r="H1" s="255"/>
      <c r="I1" s="256"/>
      <c r="J1" s="256"/>
      <c r="K1" s="257"/>
      <c r="L1" s="362"/>
    </row>
    <row r="2" spans="1:12" s="31" customFormat="1" ht="21">
      <c r="A2" s="909" t="str">
        <f>'RFPR cover'!C5</f>
        <v>WPD-SWEST</v>
      </c>
      <c r="B2" s="901"/>
      <c r="C2" s="29"/>
      <c r="D2" s="29"/>
      <c r="E2" s="29"/>
      <c r="F2" s="29"/>
      <c r="G2" s="29"/>
      <c r="H2" s="29"/>
      <c r="I2" s="27"/>
      <c r="J2" s="27"/>
      <c r="K2" s="27"/>
      <c r="L2" s="122"/>
    </row>
    <row r="3" spans="1:12" s="31" customFormat="1" ht="22.8">
      <c r="A3" s="912">
        <f>'RFPR cover'!C7</f>
        <v>2020</v>
      </c>
      <c r="B3" s="918" t="str">
        <f>'R1 - RoRE'!B3</f>
        <v/>
      </c>
      <c r="C3" s="259"/>
      <c r="D3" s="259"/>
      <c r="E3" s="259"/>
      <c r="F3" s="259"/>
      <c r="G3" s="259"/>
      <c r="H3" s="259"/>
      <c r="I3" s="254"/>
      <c r="J3" s="254"/>
      <c r="K3" s="254"/>
      <c r="L3" s="260"/>
    </row>
    <row r="4" spans="1:12" s="31" customFormat="1" ht="12.75" customHeight="1">
      <c r="A4" s="39"/>
      <c r="B4" s="39"/>
      <c r="C4" s="39"/>
      <c r="D4" s="39"/>
      <c r="E4" s="39"/>
      <c r="F4" s="39"/>
      <c r="G4" s="39"/>
      <c r="H4" s="39"/>
      <c r="I4" s="34"/>
      <c r="J4" s="34"/>
      <c r="K4" s="34"/>
      <c r="L4" s="33"/>
    </row>
    <row r="5" spans="1:12" s="2" customFormat="1">
      <c r="B5" s="3"/>
      <c r="C5" s="3"/>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row>
    <row r="6" spans="1:12" s="2" customFormat="1">
      <c r="D6" s="116">
        <f>'RFPR cover'!$C$13</f>
        <v>2016</v>
      </c>
      <c r="E6" s="117">
        <f>D6+1</f>
        <v>2017</v>
      </c>
      <c r="F6" s="117">
        <f t="shared" ref="F6:K6" si="0">E6+1</f>
        <v>2018</v>
      </c>
      <c r="G6" s="117">
        <f t="shared" si="0"/>
        <v>2019</v>
      </c>
      <c r="H6" s="117">
        <f t="shared" si="0"/>
        <v>2020</v>
      </c>
      <c r="I6" s="117">
        <f t="shared" si="0"/>
        <v>2021</v>
      </c>
      <c r="J6" s="117">
        <f t="shared" si="0"/>
        <v>2022</v>
      </c>
      <c r="K6" s="194">
        <f t="shared" si="0"/>
        <v>2023</v>
      </c>
    </row>
    <row r="7" spans="1:12" s="2" customFormat="1"/>
    <row r="8" spans="1:12" s="2" customFormat="1">
      <c r="B8" s="212" t="s">
        <v>520</v>
      </c>
      <c r="C8" s="151" t="s">
        <v>128</v>
      </c>
      <c r="D8" s="880">
        <v>-97.081814760000015</v>
      </c>
      <c r="E8" s="696">
        <v>26.400000000000006</v>
      </c>
      <c r="F8" s="696">
        <v>83.76226441</v>
      </c>
      <c r="G8" s="696">
        <v>-68.352625219999993</v>
      </c>
      <c r="H8" s="696">
        <v>-42.773303950000006</v>
      </c>
      <c r="I8" s="696">
        <v>71.574834980000006</v>
      </c>
      <c r="J8" s="696">
        <v>62.733643228312076</v>
      </c>
      <c r="K8" s="696">
        <v>43.134626125501526</v>
      </c>
    </row>
    <row r="9" spans="1:12" s="2" customFormat="1">
      <c r="B9" s="212"/>
    </row>
    <row r="10" spans="1:12">
      <c r="B10" s="212" t="s">
        <v>521</v>
      </c>
      <c r="C10" s="151" t="s">
        <v>128</v>
      </c>
      <c r="D10" s="690">
        <v>26.400000000000006</v>
      </c>
      <c r="E10" s="691">
        <v>83.76226441</v>
      </c>
      <c r="F10" s="691">
        <v>-68.352625219999993</v>
      </c>
      <c r="G10" s="691">
        <v>-42.773303950000006</v>
      </c>
      <c r="H10" s="691">
        <v>71.574834980000006</v>
      </c>
      <c r="I10" s="691">
        <v>62.733643228312076</v>
      </c>
      <c r="J10" s="691">
        <v>43.134626125501526</v>
      </c>
      <c r="K10" s="692">
        <v>-128.22207842131547</v>
      </c>
    </row>
    <row r="11" spans="1:12">
      <c r="B11" s="212" t="s">
        <v>369</v>
      </c>
      <c r="C11" s="151" t="s">
        <v>128</v>
      </c>
      <c r="D11" s="693">
        <v>736.14550000000008</v>
      </c>
      <c r="E11" s="694">
        <v>743.96578993999992</v>
      </c>
      <c r="F11" s="694">
        <v>1002.45224367</v>
      </c>
      <c r="G11" s="694">
        <v>1010.93329001</v>
      </c>
      <c r="H11" s="694">
        <v>1020.08743913</v>
      </c>
      <c r="I11" s="694">
        <v>1027.2324858450547</v>
      </c>
      <c r="J11" s="694">
        <v>1036.1747166851094</v>
      </c>
      <c r="K11" s="695">
        <v>1046.3501425956642</v>
      </c>
    </row>
    <row r="12" spans="1:12">
      <c r="B12" s="212" t="s">
        <v>370</v>
      </c>
      <c r="C12" s="151" t="s">
        <v>128</v>
      </c>
      <c r="D12" s="693">
        <v>38.825000000000003</v>
      </c>
      <c r="E12" s="694">
        <v>8.8840000000000003</v>
      </c>
      <c r="F12" s="694">
        <v>0</v>
      </c>
      <c r="G12" s="694">
        <v>0</v>
      </c>
      <c r="H12" s="694">
        <v>0</v>
      </c>
      <c r="I12" s="694">
        <v>0</v>
      </c>
      <c r="J12" s="694">
        <v>0</v>
      </c>
      <c r="K12" s="695">
        <v>0</v>
      </c>
    </row>
    <row r="13" spans="1:12">
      <c r="B13" s="212" t="s">
        <v>371</v>
      </c>
      <c r="C13" s="151" t="s">
        <v>128</v>
      </c>
      <c r="D13" s="693">
        <v>-1.0044278900000001</v>
      </c>
      <c r="E13" s="694">
        <v>-1.1981082599999999</v>
      </c>
      <c r="F13" s="694">
        <v>-1.1077999999999999</v>
      </c>
      <c r="G13" s="694">
        <v>-0.88293804000000009</v>
      </c>
      <c r="H13" s="694">
        <v>-0.92665839000000005</v>
      </c>
      <c r="I13" s="694">
        <v>-0.92665839000000005</v>
      </c>
      <c r="J13" s="694">
        <v>-0.92665839000000005</v>
      </c>
      <c r="K13" s="695">
        <v>-0.92665839000000005</v>
      </c>
    </row>
    <row r="14" spans="1:12">
      <c r="B14" s="212" t="s">
        <v>372</v>
      </c>
      <c r="C14" s="151" t="s">
        <v>128</v>
      </c>
      <c r="D14" s="693">
        <v>43.246400000000008</v>
      </c>
      <c r="E14" s="694">
        <v>64.864019339999999</v>
      </c>
      <c r="F14" s="694">
        <v>64.984835840000002</v>
      </c>
      <c r="G14" s="694">
        <v>66.922432849999993</v>
      </c>
      <c r="H14" s="694">
        <v>12.893199999999998</v>
      </c>
      <c r="I14" s="694">
        <v>12.893199999999998</v>
      </c>
      <c r="J14" s="694">
        <v>12.893199999999998</v>
      </c>
      <c r="K14" s="695">
        <v>12.893199999999998</v>
      </c>
    </row>
    <row r="15" spans="1:12">
      <c r="B15" s="212" t="s">
        <v>293</v>
      </c>
      <c r="C15" s="151" t="s">
        <v>128</v>
      </c>
      <c r="D15" s="693">
        <v>0</v>
      </c>
      <c r="E15" s="694">
        <v>0</v>
      </c>
      <c r="F15" s="694">
        <v>0</v>
      </c>
      <c r="G15" s="694">
        <v>0</v>
      </c>
      <c r="H15" s="694">
        <v>0</v>
      </c>
      <c r="I15" s="694">
        <v>0</v>
      </c>
      <c r="J15" s="694">
        <v>0</v>
      </c>
      <c r="K15" s="695">
        <v>0</v>
      </c>
    </row>
    <row r="16" spans="1:12">
      <c r="B16" s="212" t="s">
        <v>294</v>
      </c>
      <c r="C16" s="151" t="s">
        <v>128</v>
      </c>
      <c r="D16" s="693">
        <v>0</v>
      </c>
      <c r="E16" s="694">
        <v>0</v>
      </c>
      <c r="F16" s="694">
        <v>0</v>
      </c>
      <c r="G16" s="694">
        <v>0</v>
      </c>
      <c r="H16" s="694">
        <v>0</v>
      </c>
      <c r="I16" s="694">
        <v>0</v>
      </c>
      <c r="J16" s="694">
        <v>0</v>
      </c>
      <c r="K16" s="695">
        <v>0</v>
      </c>
    </row>
    <row r="17" spans="2:13">
      <c r="B17" s="212" t="s">
        <v>298</v>
      </c>
      <c r="C17" s="151" t="s">
        <v>128</v>
      </c>
      <c r="D17" s="693">
        <v>0</v>
      </c>
      <c r="E17" s="694">
        <v>0</v>
      </c>
      <c r="F17" s="694">
        <v>0</v>
      </c>
      <c r="G17" s="694">
        <v>0</v>
      </c>
      <c r="H17" s="694">
        <v>0</v>
      </c>
      <c r="I17" s="694">
        <v>0</v>
      </c>
      <c r="J17" s="694">
        <v>0</v>
      </c>
      <c r="K17" s="695">
        <v>0</v>
      </c>
    </row>
    <row r="18" spans="2:13">
      <c r="B18" s="212" t="s">
        <v>299</v>
      </c>
      <c r="C18" s="151" t="s">
        <v>128</v>
      </c>
      <c r="D18" s="693">
        <v>0</v>
      </c>
      <c r="E18" s="694">
        <v>0</v>
      </c>
      <c r="F18" s="694">
        <v>0</v>
      </c>
      <c r="G18" s="694">
        <v>0</v>
      </c>
      <c r="H18" s="694">
        <v>0</v>
      </c>
      <c r="I18" s="694">
        <v>0</v>
      </c>
      <c r="J18" s="694">
        <v>0</v>
      </c>
      <c r="K18" s="695">
        <v>0</v>
      </c>
    </row>
    <row r="19" spans="2:13">
      <c r="B19" s="212" t="s">
        <v>300</v>
      </c>
      <c r="C19" s="151" t="s">
        <v>128</v>
      </c>
      <c r="D19" s="693">
        <v>0</v>
      </c>
      <c r="E19" s="694">
        <v>0</v>
      </c>
      <c r="F19" s="694">
        <v>0</v>
      </c>
      <c r="G19" s="694">
        <v>0</v>
      </c>
      <c r="H19" s="694">
        <v>0</v>
      </c>
      <c r="I19" s="694">
        <v>0</v>
      </c>
      <c r="J19" s="694">
        <v>0</v>
      </c>
      <c r="K19" s="695">
        <v>0</v>
      </c>
    </row>
    <row r="20" spans="2:13">
      <c r="B20" s="212" t="s">
        <v>301</v>
      </c>
      <c r="C20" s="151" t="s">
        <v>128</v>
      </c>
      <c r="D20" s="693">
        <v>0</v>
      </c>
      <c r="E20" s="694">
        <v>0</v>
      </c>
      <c r="F20" s="694">
        <v>0</v>
      </c>
      <c r="G20" s="694">
        <v>0</v>
      </c>
      <c r="H20" s="694">
        <v>0</v>
      </c>
      <c r="I20" s="694">
        <v>0</v>
      </c>
      <c r="J20" s="694">
        <v>0</v>
      </c>
      <c r="K20" s="695">
        <v>0</v>
      </c>
    </row>
    <row r="21" spans="2:13">
      <c r="B21" s="212" t="s">
        <v>302</v>
      </c>
      <c r="C21" s="151" t="s">
        <v>128</v>
      </c>
      <c r="D21" s="693">
        <v>0</v>
      </c>
      <c r="E21" s="694">
        <v>0</v>
      </c>
      <c r="F21" s="694">
        <v>0</v>
      </c>
      <c r="G21" s="694">
        <v>0</v>
      </c>
      <c r="H21" s="694">
        <v>0</v>
      </c>
      <c r="I21" s="694">
        <v>0</v>
      </c>
      <c r="J21" s="694">
        <v>0</v>
      </c>
      <c r="K21" s="695">
        <v>0</v>
      </c>
    </row>
    <row r="22" spans="2:13">
      <c r="B22" s="212" t="s">
        <v>303</v>
      </c>
      <c r="C22" s="151" t="s">
        <v>128</v>
      </c>
      <c r="D22" s="693">
        <v>0</v>
      </c>
      <c r="E22" s="694">
        <v>0</v>
      </c>
      <c r="F22" s="694">
        <v>0</v>
      </c>
      <c r="G22" s="694">
        <v>0</v>
      </c>
      <c r="H22" s="694">
        <v>0</v>
      </c>
      <c r="I22" s="694">
        <v>0</v>
      </c>
      <c r="J22" s="694">
        <v>0</v>
      </c>
      <c r="K22" s="695">
        <v>0</v>
      </c>
    </row>
    <row r="23" spans="2:13">
      <c r="B23" s="14" t="s">
        <v>319</v>
      </c>
      <c r="C23" s="234" t="s">
        <v>128</v>
      </c>
      <c r="D23" s="696">
        <v>843.61247211000011</v>
      </c>
      <c r="E23" s="696">
        <v>900.27796542999988</v>
      </c>
      <c r="F23" s="696">
        <v>997.97665428999994</v>
      </c>
      <c r="G23" s="696">
        <v>1034.1994808699999</v>
      </c>
      <c r="H23" s="696">
        <v>1103.6288157199999</v>
      </c>
      <c r="I23" s="696">
        <v>1101.9326706833667</v>
      </c>
      <c r="J23" s="696">
        <v>1091.2758844206107</v>
      </c>
      <c r="K23" s="697">
        <v>930.09460578434869</v>
      </c>
      <c r="L23" s="2"/>
      <c r="M23" s="322"/>
    </row>
    <row r="24" spans="2:13">
      <c r="B24" s="14"/>
      <c r="C24" s="151"/>
      <c r="D24" s="238"/>
      <c r="E24" s="238"/>
      <c r="F24" s="238"/>
      <c r="G24" s="238"/>
      <c r="H24" s="238"/>
      <c r="I24" s="238"/>
      <c r="J24" s="238"/>
      <c r="K24" s="238"/>
      <c r="L24" s="2"/>
      <c r="M24" s="2"/>
    </row>
    <row r="25" spans="2:13">
      <c r="B25" s="14" t="s">
        <v>123</v>
      </c>
      <c r="C25" s="16"/>
      <c r="D25" s="239"/>
      <c r="E25" s="239"/>
      <c r="F25" s="239"/>
      <c r="G25" s="239"/>
      <c r="H25" s="239"/>
      <c r="I25" s="239"/>
      <c r="J25" s="239"/>
      <c r="K25" s="239"/>
      <c r="L25" s="2"/>
      <c r="M25" s="2"/>
    </row>
    <row r="26" spans="2:13">
      <c r="B26" s="368" t="s">
        <v>532</v>
      </c>
      <c r="C26" s="151" t="s">
        <v>128</v>
      </c>
      <c r="D26" s="346">
        <v>2.4692543600000003</v>
      </c>
      <c r="E26" s="346">
        <v>2.3290950399999999</v>
      </c>
      <c r="F26" s="346">
        <v>3.5756000000000001</v>
      </c>
      <c r="G26" s="346">
        <v>3.3085693899999997</v>
      </c>
      <c r="H26" s="346">
        <v>3.0444861099999998</v>
      </c>
      <c r="I26" s="346">
        <v>2.7797626526451866</v>
      </c>
      <c r="J26" s="346">
        <v>2.5150391552903728</v>
      </c>
      <c r="K26" s="346">
        <v>2.250315657935559</v>
      </c>
      <c r="L26" s="2"/>
      <c r="M26" s="2"/>
    </row>
    <row r="27" spans="2:13">
      <c r="B27" s="368" t="s">
        <v>8</v>
      </c>
      <c r="C27" s="151" t="s">
        <v>128</v>
      </c>
      <c r="D27" s="346">
        <v>0</v>
      </c>
      <c r="E27" s="378">
        <v>0</v>
      </c>
      <c r="F27" s="378">
        <v>0</v>
      </c>
      <c r="G27" s="378">
        <v>0</v>
      </c>
      <c r="H27" s="378">
        <v>0</v>
      </c>
      <c r="I27" s="378">
        <v>0</v>
      </c>
      <c r="J27" s="378">
        <v>0</v>
      </c>
      <c r="K27" s="382">
        <v>0</v>
      </c>
      <c r="L27" s="35"/>
      <c r="M27" s="35"/>
    </row>
    <row r="28" spans="2:13">
      <c r="B28" s="368" t="s">
        <v>9</v>
      </c>
      <c r="C28" s="151" t="s">
        <v>128</v>
      </c>
      <c r="D28" s="346">
        <v>0</v>
      </c>
      <c r="E28" s="378">
        <v>0</v>
      </c>
      <c r="F28" s="378">
        <v>0</v>
      </c>
      <c r="G28" s="378">
        <v>0</v>
      </c>
      <c r="H28" s="378">
        <v>0</v>
      </c>
      <c r="I28" s="378">
        <v>0</v>
      </c>
      <c r="J28" s="378">
        <v>0</v>
      </c>
      <c r="K28" s="382">
        <v>0</v>
      </c>
      <c r="L28" s="35"/>
      <c r="M28" s="35"/>
    </row>
    <row r="29" spans="2:13">
      <c r="B29" s="368" t="s">
        <v>10</v>
      </c>
      <c r="C29" s="151" t="s">
        <v>128</v>
      </c>
      <c r="D29" s="346">
        <v>1.0044278900000001</v>
      </c>
      <c r="E29" s="378">
        <v>1.1981082599999999</v>
      </c>
      <c r="F29" s="378">
        <v>1.1077999999999999</v>
      </c>
      <c r="G29" s="378">
        <v>0.88293801999999999</v>
      </c>
      <c r="H29" s="378">
        <v>0.92665839000000005</v>
      </c>
      <c r="I29" s="378">
        <v>0.92665839000000005</v>
      </c>
      <c r="J29" s="378">
        <v>0.92665839000000005</v>
      </c>
      <c r="K29" s="382">
        <v>0.92665839000000005</v>
      </c>
      <c r="L29" s="35"/>
      <c r="M29" s="35"/>
    </row>
    <row r="30" spans="2:13">
      <c r="B30" s="368" t="s">
        <v>612</v>
      </c>
      <c r="C30" s="151" t="s">
        <v>128</v>
      </c>
      <c r="D30" s="346">
        <v>2.4309200799999999</v>
      </c>
      <c r="E30" s="378">
        <v>2.2854102399999996</v>
      </c>
      <c r="F30" s="378">
        <v>4.3586999999999998</v>
      </c>
      <c r="G30" s="378">
        <v>4.0143425600000002</v>
      </c>
      <c r="H30" s="378">
        <v>3.6697767200000002</v>
      </c>
      <c r="I30" s="378">
        <v>3.3246685023001161</v>
      </c>
      <c r="J30" s="378">
        <v>3.3246685023001161</v>
      </c>
      <c r="K30" s="382">
        <v>3.3246685023001161</v>
      </c>
    </row>
    <row r="31" spans="2:13">
      <c r="B31" s="368" t="s">
        <v>613</v>
      </c>
      <c r="C31" s="151" t="s">
        <v>128</v>
      </c>
      <c r="D31" s="346">
        <v>-43.246400000000008</v>
      </c>
      <c r="E31" s="378">
        <v>-64.864019339999999</v>
      </c>
      <c r="F31" s="378">
        <v>-64.984800000000007</v>
      </c>
      <c r="G31" s="378">
        <v>-66.922182850000013</v>
      </c>
      <c r="H31" s="378">
        <v>-12.893049220000002</v>
      </c>
      <c r="I31" s="378">
        <v>-12.893199999999998</v>
      </c>
      <c r="J31" s="378">
        <v>-12.893199999999998</v>
      </c>
      <c r="K31" s="382">
        <v>-12.893199999999998</v>
      </c>
    </row>
    <row r="32" spans="2:13" ht="12.75" customHeight="1">
      <c r="B32" s="368" t="s">
        <v>614</v>
      </c>
      <c r="C32" s="151" t="s">
        <v>128</v>
      </c>
      <c r="D32" s="346">
        <v>11.566366140000001</v>
      </c>
      <c r="E32" s="378">
        <v>8.8373250399999996</v>
      </c>
      <c r="F32" s="378">
        <v>4.4404000000000003</v>
      </c>
      <c r="G32" s="378">
        <v>2.5139474900000001</v>
      </c>
      <c r="H32" s="378">
        <v>2.060559</v>
      </c>
      <c r="I32" s="378">
        <v>2.0605589999999996</v>
      </c>
      <c r="J32" s="378">
        <v>2.0605589999999996</v>
      </c>
      <c r="K32" s="382">
        <v>2.0605589999999996</v>
      </c>
    </row>
    <row r="33" spans="2:12">
      <c r="B33" s="368" t="s">
        <v>622</v>
      </c>
      <c r="C33" s="151" t="s">
        <v>128</v>
      </c>
      <c r="D33" s="346">
        <v>0</v>
      </c>
      <c r="E33" s="378">
        <v>0</v>
      </c>
      <c r="F33" s="378">
        <v>0</v>
      </c>
      <c r="G33" s="378">
        <v>0</v>
      </c>
      <c r="H33" s="378">
        <v>0</v>
      </c>
      <c r="I33" s="378">
        <v>0</v>
      </c>
      <c r="J33" s="378">
        <v>0</v>
      </c>
      <c r="K33" s="382">
        <v>0</v>
      </c>
    </row>
    <row r="34" spans="2:12">
      <c r="B34" s="368" t="s">
        <v>357</v>
      </c>
      <c r="C34" s="151" t="s">
        <v>128</v>
      </c>
      <c r="D34" s="346">
        <v>0</v>
      </c>
      <c r="E34" s="378">
        <v>0</v>
      </c>
      <c r="F34" s="378">
        <v>0</v>
      </c>
      <c r="G34" s="378">
        <v>0</v>
      </c>
      <c r="H34" s="378">
        <v>0</v>
      </c>
      <c r="I34" s="378">
        <v>0</v>
      </c>
      <c r="J34" s="378">
        <v>0</v>
      </c>
      <c r="K34" s="382">
        <v>0</v>
      </c>
    </row>
    <row r="35" spans="2:12">
      <c r="B35" s="368" t="s">
        <v>358</v>
      </c>
      <c r="C35" s="151" t="s">
        <v>128</v>
      </c>
      <c r="D35" s="346">
        <v>0</v>
      </c>
      <c r="E35" s="378">
        <v>0</v>
      </c>
      <c r="F35" s="378">
        <v>0</v>
      </c>
      <c r="G35" s="378">
        <v>0</v>
      </c>
      <c r="H35" s="378">
        <v>0</v>
      </c>
      <c r="I35" s="378">
        <v>0</v>
      </c>
      <c r="J35" s="378">
        <v>0</v>
      </c>
      <c r="K35" s="382">
        <v>0</v>
      </c>
    </row>
    <row r="36" spans="2:12">
      <c r="B36" s="368" t="s">
        <v>359</v>
      </c>
      <c r="C36" s="151" t="s">
        <v>128</v>
      </c>
      <c r="D36" s="346">
        <v>0</v>
      </c>
      <c r="E36" s="378">
        <v>0</v>
      </c>
      <c r="F36" s="378">
        <v>0</v>
      </c>
      <c r="G36" s="378">
        <v>0</v>
      </c>
      <c r="H36" s="378">
        <v>0</v>
      </c>
      <c r="I36" s="378">
        <v>0</v>
      </c>
      <c r="J36" s="378">
        <v>0</v>
      </c>
      <c r="K36" s="382">
        <v>0</v>
      </c>
    </row>
    <row r="37" spans="2:12">
      <c r="B37" s="368" t="s">
        <v>360</v>
      </c>
      <c r="C37" s="151" t="s">
        <v>128</v>
      </c>
      <c r="D37" s="346">
        <v>0</v>
      </c>
      <c r="E37" s="378">
        <v>0</v>
      </c>
      <c r="F37" s="378">
        <v>0</v>
      </c>
      <c r="G37" s="378">
        <v>0</v>
      </c>
      <c r="H37" s="378">
        <v>0</v>
      </c>
      <c r="I37" s="378">
        <v>0</v>
      </c>
      <c r="J37" s="378">
        <v>0</v>
      </c>
      <c r="K37" s="382">
        <v>0</v>
      </c>
    </row>
    <row r="38" spans="2:12">
      <c r="B38" s="368" t="s">
        <v>361</v>
      </c>
      <c r="C38" s="151" t="s">
        <v>128</v>
      </c>
      <c r="D38" s="346">
        <v>0</v>
      </c>
      <c r="E38" s="378">
        <v>0</v>
      </c>
      <c r="F38" s="378">
        <v>0</v>
      </c>
      <c r="G38" s="378">
        <v>0</v>
      </c>
      <c r="H38" s="378">
        <v>0</v>
      </c>
      <c r="I38" s="378">
        <v>0</v>
      </c>
      <c r="J38" s="378">
        <v>0</v>
      </c>
      <c r="K38" s="382">
        <v>0</v>
      </c>
    </row>
    <row r="39" spans="2:12">
      <c r="B39" s="368" t="s">
        <v>362</v>
      </c>
      <c r="C39" s="151" t="s">
        <v>128</v>
      </c>
      <c r="D39" s="346">
        <v>0</v>
      </c>
      <c r="E39" s="378">
        <v>0</v>
      </c>
      <c r="F39" s="378">
        <v>0</v>
      </c>
      <c r="G39" s="378">
        <v>0</v>
      </c>
      <c r="H39" s="378">
        <v>0</v>
      </c>
      <c r="I39" s="378">
        <v>0</v>
      </c>
      <c r="J39" s="378">
        <v>0</v>
      </c>
      <c r="K39" s="382">
        <v>0</v>
      </c>
    </row>
    <row r="40" spans="2:12">
      <c r="B40" s="368" t="s">
        <v>363</v>
      </c>
      <c r="C40" s="151" t="s">
        <v>128</v>
      </c>
      <c r="D40" s="346">
        <v>0</v>
      </c>
      <c r="E40" s="378">
        <v>0</v>
      </c>
      <c r="F40" s="378">
        <v>0</v>
      </c>
      <c r="G40" s="378">
        <v>0</v>
      </c>
      <c r="H40" s="378">
        <v>0</v>
      </c>
      <c r="I40" s="378">
        <v>0</v>
      </c>
      <c r="J40" s="378">
        <v>0</v>
      </c>
      <c r="K40" s="382">
        <v>0</v>
      </c>
    </row>
    <row r="41" spans="2:12">
      <c r="B41" s="368" t="s">
        <v>364</v>
      </c>
      <c r="C41" s="151" t="s">
        <v>128</v>
      </c>
      <c r="D41" s="379">
        <v>0</v>
      </c>
      <c r="E41" s="380">
        <v>0</v>
      </c>
      <c r="F41" s="380">
        <v>0</v>
      </c>
      <c r="G41" s="380">
        <v>0</v>
      </c>
      <c r="H41" s="380">
        <v>0</v>
      </c>
      <c r="I41" s="380">
        <v>0</v>
      </c>
      <c r="J41" s="380">
        <v>0</v>
      </c>
      <c r="K41" s="383">
        <v>0</v>
      </c>
    </row>
    <row r="42" spans="2:12">
      <c r="B42" s="198" t="s">
        <v>234</v>
      </c>
      <c r="C42" s="151" t="s">
        <v>128</v>
      </c>
      <c r="D42" s="704">
        <v>817.83704058000012</v>
      </c>
      <c r="E42" s="704">
        <v>850.06388466999988</v>
      </c>
      <c r="F42" s="704">
        <v>946.47435428999984</v>
      </c>
      <c r="G42" s="704">
        <v>977.99709547999976</v>
      </c>
      <c r="H42" s="704">
        <v>1100.4372467200001</v>
      </c>
      <c r="I42" s="704">
        <v>1098.1311192283119</v>
      </c>
      <c r="J42" s="704">
        <v>1087.2096094682013</v>
      </c>
      <c r="K42" s="704">
        <v>925.76360733458444</v>
      </c>
    </row>
    <row r="43" spans="2:12">
      <c r="B43" s="369" t="s">
        <v>306</v>
      </c>
      <c r="C43" s="151" t="s">
        <v>128</v>
      </c>
      <c r="D43" s="705"/>
      <c r="E43" s="706"/>
      <c r="F43" s="706"/>
      <c r="G43" s="707"/>
      <c r="H43" s="707"/>
      <c r="I43" s="707">
        <v>0</v>
      </c>
      <c r="J43" s="707">
        <v>0</v>
      </c>
      <c r="K43" s="708">
        <v>300</v>
      </c>
    </row>
    <row r="44" spans="2:12">
      <c r="B44" s="345" t="s">
        <v>436</v>
      </c>
      <c r="C44" s="151" t="s">
        <v>128</v>
      </c>
      <c r="D44" s="94">
        <v>817.83704058000012</v>
      </c>
      <c r="E44" s="95">
        <v>850.06388466999988</v>
      </c>
      <c r="F44" s="95">
        <v>946.47435428999984</v>
      </c>
      <c r="G44" s="95">
        <v>977.99709547999976</v>
      </c>
      <c r="H44" s="95">
        <v>1100.4372467200001</v>
      </c>
      <c r="I44" s="95">
        <v>1098.1311192283119</v>
      </c>
      <c r="J44" s="95">
        <v>1087.2096094682013</v>
      </c>
      <c r="K44" s="96">
        <v>1225.7636073345843</v>
      </c>
    </row>
    <row r="45" spans="2:12">
      <c r="D45" s="225" t="s">
        <v>663</v>
      </c>
      <c r="E45" s="226" t="s">
        <v>663</v>
      </c>
      <c r="F45" s="226" t="s">
        <v>663</v>
      </c>
      <c r="G45" s="226" t="s">
        <v>663</v>
      </c>
      <c r="H45" s="226" t="s">
        <v>663</v>
      </c>
      <c r="I45" s="226" t="s">
        <v>663</v>
      </c>
      <c r="J45" s="226" t="s">
        <v>663</v>
      </c>
      <c r="K45" s="227" t="s">
        <v>663</v>
      </c>
    </row>
    <row r="47" spans="2:12">
      <c r="B47" s="820" t="s">
        <v>437</v>
      </c>
      <c r="C47" s="151" t="s">
        <v>128</v>
      </c>
      <c r="D47" s="835">
        <v>661.10660825000014</v>
      </c>
      <c r="E47" s="95">
        <v>817.83704058000012</v>
      </c>
      <c r="F47" s="95">
        <v>850.06388466999988</v>
      </c>
      <c r="G47" s="95">
        <v>946.47435428999984</v>
      </c>
      <c r="H47" s="95">
        <v>977.99709547999976</v>
      </c>
      <c r="I47" s="95">
        <v>1100.4372467200001</v>
      </c>
      <c r="J47" s="95">
        <v>1098.1311192283119</v>
      </c>
      <c r="K47" s="96">
        <v>1087.2096094682013</v>
      </c>
      <c r="L47" s="819"/>
    </row>
    <row r="48" spans="2:12">
      <c r="B48" s="820" t="s">
        <v>438</v>
      </c>
      <c r="C48" s="151" t="s">
        <v>128</v>
      </c>
      <c r="D48" s="577">
        <v>817.83704058000012</v>
      </c>
      <c r="E48" s="578">
        <v>850.06388466999988</v>
      </c>
      <c r="F48" s="578">
        <v>946.47435428999984</v>
      </c>
      <c r="G48" s="578">
        <v>977.99709547999976</v>
      </c>
      <c r="H48" s="578">
        <v>1100.4372467200001</v>
      </c>
      <c r="I48" s="578">
        <v>1098.1311192283119</v>
      </c>
      <c r="J48" s="578">
        <v>1087.2096094682013</v>
      </c>
      <c r="K48" s="834">
        <v>1225.7636073345843</v>
      </c>
      <c r="L48" s="819"/>
    </row>
    <row r="49" spans="2:13">
      <c r="D49" s="23"/>
      <c r="E49" s="23"/>
      <c r="F49" s="23"/>
      <c r="G49" s="23"/>
      <c r="H49" s="23"/>
      <c r="I49" s="23"/>
      <c r="J49" s="23"/>
      <c r="K49" s="23"/>
    </row>
    <row r="50" spans="2:13">
      <c r="B50" s="14" t="s">
        <v>124</v>
      </c>
    </row>
    <row r="51" spans="2:13">
      <c r="B51" t="s">
        <v>125</v>
      </c>
      <c r="C51" s="479" t="s">
        <v>7</v>
      </c>
      <c r="D51" s="473">
        <v>0</v>
      </c>
      <c r="E51" s="474">
        <v>0</v>
      </c>
      <c r="F51" s="474">
        <v>0</v>
      </c>
      <c r="G51" s="474">
        <v>0</v>
      </c>
      <c r="H51" s="474">
        <v>0</v>
      </c>
      <c r="I51" s="474">
        <v>0</v>
      </c>
      <c r="J51" s="474">
        <v>0</v>
      </c>
      <c r="K51" s="475">
        <v>0</v>
      </c>
    </row>
    <row r="52" spans="2:13">
      <c r="B52" t="s">
        <v>126</v>
      </c>
      <c r="C52" s="479" t="s">
        <v>7</v>
      </c>
      <c r="D52" s="485">
        <v>1</v>
      </c>
      <c r="E52" s="486">
        <v>1</v>
      </c>
      <c r="F52" s="486">
        <v>1</v>
      </c>
      <c r="G52" s="486">
        <v>1</v>
      </c>
      <c r="H52" s="486">
        <v>1</v>
      </c>
      <c r="I52" s="486">
        <v>1</v>
      </c>
      <c r="J52" s="486">
        <v>1</v>
      </c>
      <c r="K52" s="487">
        <v>1</v>
      </c>
    </row>
    <row r="53" spans="2:13">
      <c r="C53" s="819"/>
      <c r="D53" s="819"/>
      <c r="E53" s="819"/>
      <c r="F53" s="819"/>
      <c r="G53" s="819"/>
      <c r="H53" s="819"/>
      <c r="I53" s="819"/>
      <c r="J53" s="819"/>
      <c r="K53" s="819"/>
      <c r="L53" s="819"/>
    </row>
    <row r="54" spans="2:13">
      <c r="B54" s="199" t="s">
        <v>460</v>
      </c>
      <c r="C54" s="265" t="s">
        <v>128</v>
      </c>
      <c r="D54" s="709">
        <v>739.47182441500013</v>
      </c>
      <c r="E54" s="710">
        <v>833.950462625</v>
      </c>
      <c r="F54" s="710">
        <v>898.26911947999986</v>
      </c>
      <c r="G54" s="710">
        <v>962.23572488499985</v>
      </c>
      <c r="H54" s="710">
        <v>1039.2171710999999</v>
      </c>
      <c r="I54" s="710">
        <v>1099.284182974156</v>
      </c>
      <c r="J54" s="710">
        <v>1092.6703643482565</v>
      </c>
      <c r="K54" s="711">
        <v>1156.4866084013929</v>
      </c>
    </row>
    <row r="55" spans="2:13">
      <c r="B55" s="199" t="s">
        <v>272</v>
      </c>
      <c r="C55" s="151" t="s">
        <v>128</v>
      </c>
      <c r="D55" s="698">
        <v>571.23434940692164</v>
      </c>
      <c r="E55" s="699">
        <v>574.41686342237199</v>
      </c>
      <c r="F55" s="699">
        <v>617.57621482388333</v>
      </c>
      <c r="G55" s="699">
        <v>653.83190563883818</v>
      </c>
      <c r="H55" s="699">
        <v>672.85455191781557</v>
      </c>
      <c r="I55" s="699">
        <v>701.00499380067822</v>
      </c>
      <c r="J55" s="699">
        <v>807.54183145035631</v>
      </c>
      <c r="K55" s="700">
        <v>867.69091019654343</v>
      </c>
    </row>
    <row r="56" spans="2:13">
      <c r="B56" s="199" t="s">
        <v>508</v>
      </c>
      <c r="C56" s="151" t="s">
        <v>128</v>
      </c>
      <c r="D56" s="873">
        <v>1310.7061738219218</v>
      </c>
      <c r="E56" s="873">
        <v>1408.367326047372</v>
      </c>
      <c r="F56" s="873">
        <v>1515.8453343038832</v>
      </c>
      <c r="G56" s="873">
        <v>1616.067630523838</v>
      </c>
      <c r="H56" s="873">
        <v>1712.0717230178154</v>
      </c>
      <c r="I56" s="873">
        <v>1800.2891767748342</v>
      </c>
      <c r="J56" s="873">
        <v>1900.2121957986128</v>
      </c>
      <c r="K56" s="873">
        <v>2024.1775185979363</v>
      </c>
    </row>
    <row r="57" spans="2:13">
      <c r="B57" s="199" t="s">
        <v>235</v>
      </c>
      <c r="C57" s="151" t="s">
        <v>7</v>
      </c>
      <c r="D57" s="230">
        <v>0.56417818057479296</v>
      </c>
      <c r="E57" s="231">
        <v>0.59213988226033953</v>
      </c>
      <c r="F57" s="231">
        <v>0.59258626137640169</v>
      </c>
      <c r="G57" s="231">
        <v>0.59541798047962713</v>
      </c>
      <c r="H57" s="231">
        <v>0.60699394606448154</v>
      </c>
      <c r="I57" s="231">
        <v>0.61061533733346751</v>
      </c>
      <c r="J57" s="231">
        <v>0.57502544545507128</v>
      </c>
      <c r="K57" s="232">
        <v>0.571336554119247</v>
      </c>
    </row>
    <row r="58" spans="2:13">
      <c r="B58" s="199" t="s">
        <v>115</v>
      </c>
      <c r="C58" s="151" t="s">
        <v>7</v>
      </c>
      <c r="D58" s="874">
        <v>0.65</v>
      </c>
      <c r="E58" s="875">
        <v>0.65</v>
      </c>
      <c r="F58" s="875">
        <v>0.65</v>
      </c>
      <c r="G58" s="875">
        <v>0.65</v>
      </c>
      <c r="H58" s="875">
        <v>0.65</v>
      </c>
      <c r="I58" s="875">
        <v>0.65</v>
      </c>
      <c r="J58" s="875">
        <v>0.65</v>
      </c>
      <c r="K58" s="876">
        <v>0.65</v>
      </c>
    </row>
    <row r="59" spans="2:13">
      <c r="B59" s="199" t="s">
        <v>236</v>
      </c>
      <c r="C59" s="151" t="s">
        <v>7</v>
      </c>
      <c r="D59" s="235">
        <v>-8.5821819425207058E-2</v>
      </c>
      <c r="E59" s="236">
        <v>-5.7860117739660488E-2</v>
      </c>
      <c r="F59" s="236">
        <v>-5.7413738623598332E-2</v>
      </c>
      <c r="G59" s="236">
        <v>-5.4582019520372893E-2</v>
      </c>
      <c r="H59" s="236">
        <v>-4.3006053935518485E-2</v>
      </c>
      <c r="I59" s="236">
        <v>-3.9384662666532511E-2</v>
      </c>
      <c r="J59" s="236">
        <v>-7.497455454492874E-2</v>
      </c>
      <c r="K59" s="237">
        <v>-7.8663445880753025E-2</v>
      </c>
    </row>
    <row r="61" spans="2:13">
      <c r="B61" s="199" t="s">
        <v>515</v>
      </c>
      <c r="C61" s="154" t="s">
        <v>159</v>
      </c>
      <c r="D61" s="949">
        <v>683.98562850040241</v>
      </c>
      <c r="E61" s="702">
        <v>753.59421661041733</v>
      </c>
      <c r="F61" s="702">
        <v>786.06680848746646</v>
      </c>
      <c r="G61" s="702">
        <v>818.00233393792018</v>
      </c>
      <c r="H61" s="702">
        <v>863.66343585012282</v>
      </c>
      <c r="I61" s="702">
        <v>898.12329737662719</v>
      </c>
      <c r="J61" s="702">
        <v>876.70690159867536</v>
      </c>
      <c r="K61" s="703">
        <v>907.43920246901314</v>
      </c>
      <c r="M61" s="321"/>
    </row>
    <row r="62" spans="2:13">
      <c r="B62" s="199" t="s">
        <v>513</v>
      </c>
      <c r="C62" s="154" t="s">
        <v>159</v>
      </c>
      <c r="D62" s="665">
        <v>528.37183595089539</v>
      </c>
      <c r="E62" s="666">
        <v>519.06827275572368</v>
      </c>
      <c r="F62" s="666">
        <v>540.43510308514919</v>
      </c>
      <c r="G62" s="666">
        <v>555.82640613303738</v>
      </c>
      <c r="H62" s="666">
        <v>559.19002331497904</v>
      </c>
      <c r="I62" s="666">
        <v>572.72625792392466</v>
      </c>
      <c r="J62" s="666">
        <v>647.93328350627326</v>
      </c>
      <c r="K62" s="667">
        <v>680.83516213538462</v>
      </c>
      <c r="M62" s="321"/>
    </row>
    <row r="63" spans="2:13">
      <c r="B63" s="199" t="s">
        <v>514</v>
      </c>
      <c r="C63" s="154" t="s">
        <v>159</v>
      </c>
      <c r="D63" s="872">
        <v>1212.3574644512978</v>
      </c>
      <c r="E63" s="872">
        <v>1272.662489366141</v>
      </c>
      <c r="F63" s="872">
        <v>1326.5019115726157</v>
      </c>
      <c r="G63" s="872">
        <v>1373.8287400709576</v>
      </c>
      <c r="H63" s="872">
        <v>1422.8534591651019</v>
      </c>
      <c r="I63" s="872">
        <v>1470.8495553005519</v>
      </c>
      <c r="J63" s="872">
        <v>1524.6401851049486</v>
      </c>
      <c r="K63" s="872">
        <v>1588.2743646043978</v>
      </c>
    </row>
    <row r="64" spans="2:13">
      <c r="B64" s="199" t="s">
        <v>235</v>
      </c>
      <c r="C64" s="151" t="s">
        <v>7</v>
      </c>
      <c r="D64" s="230">
        <v>0.56417818057479296</v>
      </c>
      <c r="E64" s="231">
        <v>0.59213988226033953</v>
      </c>
      <c r="F64" s="231">
        <v>0.59258626137640169</v>
      </c>
      <c r="G64" s="231">
        <v>0.59541798047962713</v>
      </c>
      <c r="H64" s="231">
        <v>0.60699394606448154</v>
      </c>
      <c r="I64" s="231">
        <v>0.61061533733346751</v>
      </c>
      <c r="J64" s="231">
        <v>0.57502544545507128</v>
      </c>
      <c r="K64" s="232">
        <v>0.571336554119247</v>
      </c>
    </row>
    <row r="65" spans="2:11">
      <c r="B65" s="199" t="s">
        <v>115</v>
      </c>
      <c r="C65" s="151" t="s">
        <v>7</v>
      </c>
      <c r="D65" s="874">
        <v>0.65</v>
      </c>
      <c r="E65" s="875">
        <v>0.65</v>
      </c>
      <c r="F65" s="875">
        <v>0.65</v>
      </c>
      <c r="G65" s="875">
        <v>0.65</v>
      </c>
      <c r="H65" s="875">
        <v>0.65</v>
      </c>
      <c r="I65" s="875">
        <v>0.65</v>
      </c>
      <c r="J65" s="875">
        <v>0.65</v>
      </c>
      <c r="K65" s="876">
        <v>0.65</v>
      </c>
    </row>
    <row r="66" spans="2:11">
      <c r="B66" s="199" t="s">
        <v>236</v>
      </c>
      <c r="C66" s="151" t="s">
        <v>7</v>
      </c>
      <c r="D66" s="235">
        <v>-8.5821819425207058E-2</v>
      </c>
      <c r="E66" s="236">
        <v>-5.7860117739660488E-2</v>
      </c>
      <c r="F66" s="236">
        <v>-5.7413738623598332E-2</v>
      </c>
      <c r="G66" s="236">
        <v>-5.4582019520372893E-2</v>
      </c>
      <c r="H66" s="236">
        <v>-4.3006053935518485E-2</v>
      </c>
      <c r="I66" s="236">
        <v>-3.9384662666532511E-2</v>
      </c>
      <c r="J66" s="236">
        <v>-7.497455454492874E-2</v>
      </c>
      <c r="K66" s="237">
        <v>-7.8663445880753025E-2</v>
      </c>
    </row>
  </sheetData>
  <conditionalFormatting sqref="D6:K6">
    <cfRule type="expression" dxfId="35" priority="18">
      <formula>AND(D$5="Actuals",E$5="Forecast")</formula>
    </cfRule>
  </conditionalFormatting>
  <conditionalFormatting sqref="D5:K5">
    <cfRule type="expression" dxfId="34"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100.08984375" customWidth="1"/>
    <col min="3" max="3" width="14.08984375" style="197" customWidth="1"/>
    <col min="4" max="11" width="11.08984375" customWidth="1"/>
    <col min="12" max="12" width="5" customWidth="1"/>
    <col min="14" max="14" width="9" style="212"/>
  </cols>
  <sheetData>
    <row r="1" spans="1:14" s="31" customFormat="1" ht="21">
      <c r="A1" s="906" t="s">
        <v>120</v>
      </c>
      <c r="B1" s="935"/>
      <c r="C1" s="396"/>
      <c r="D1" s="119"/>
      <c r="E1" s="119"/>
      <c r="F1" s="119"/>
      <c r="G1" s="119"/>
      <c r="H1" s="119"/>
      <c r="I1" s="125"/>
      <c r="J1" s="125"/>
      <c r="K1" s="126"/>
      <c r="L1" s="362"/>
      <c r="N1" s="211"/>
    </row>
    <row r="2" spans="1:14" s="31" customFormat="1" ht="21">
      <c r="A2" s="909" t="str">
        <f>'RFPR cover'!C5</f>
        <v>WPD-SWEST</v>
      </c>
      <c r="B2" s="901"/>
      <c r="C2" s="220"/>
      <c r="D2" s="29"/>
      <c r="E2" s="29"/>
      <c r="F2" s="29"/>
      <c r="G2" s="29"/>
      <c r="H2" s="29"/>
      <c r="I2" s="27"/>
      <c r="J2" s="27"/>
      <c r="K2" s="27"/>
      <c r="L2" s="122"/>
      <c r="N2" s="211"/>
    </row>
    <row r="3" spans="1:14" s="31" customFormat="1" ht="21">
      <c r="A3" s="912">
        <f>'RFPR cover'!C7</f>
        <v>2020</v>
      </c>
      <c r="B3" s="919"/>
      <c r="C3" s="397"/>
      <c r="D3" s="259"/>
      <c r="E3" s="259"/>
      <c r="F3" s="259"/>
      <c r="G3" s="259"/>
      <c r="H3" s="259"/>
      <c r="I3" s="254"/>
      <c r="J3" s="254"/>
      <c r="K3" s="254"/>
      <c r="L3" s="260"/>
      <c r="N3" s="211"/>
    </row>
    <row r="4" spans="1:14" s="2" customFormat="1" ht="12.75" customHeight="1">
      <c r="C4" s="1"/>
      <c r="N4" s="128"/>
    </row>
    <row r="5" spans="1:14" s="2" customFormat="1">
      <c r="B5" s="38"/>
      <c r="C5" s="221"/>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Forecast</v>
      </c>
      <c r="I5" s="389" t="str">
        <f>IF(I6&lt;='RFPR cover'!$C$7-1,"Actuals","Forecast")</f>
        <v>Forecast</v>
      </c>
      <c r="J5" s="389" t="str">
        <f>IF(J6&lt;='RFPR cover'!$C$7-1,"Actuals","Forecast")</f>
        <v>Forecast</v>
      </c>
      <c r="K5" s="389" t="str">
        <f>IF(K6&lt;='RFPR cover'!$C$7-1,"Actuals","Forecast")</f>
        <v>Forecast</v>
      </c>
      <c r="N5" s="128"/>
    </row>
    <row r="6" spans="1:14" s="2" customFormat="1">
      <c r="C6" s="1"/>
      <c r="D6" s="116">
        <f>'RFPR cover'!$C$13</f>
        <v>2016</v>
      </c>
      <c r="E6" s="117">
        <f>D6+1</f>
        <v>2017</v>
      </c>
      <c r="F6" s="117">
        <f t="shared" ref="F6:K6" si="0">E6+1</f>
        <v>2018</v>
      </c>
      <c r="G6" s="117">
        <f t="shared" si="0"/>
        <v>2019</v>
      </c>
      <c r="H6" s="117">
        <f t="shared" si="0"/>
        <v>2020</v>
      </c>
      <c r="I6" s="117">
        <f t="shared" si="0"/>
        <v>2021</v>
      </c>
      <c r="J6" s="117">
        <f t="shared" si="0"/>
        <v>2022</v>
      </c>
      <c r="K6" s="194">
        <f t="shared" si="0"/>
        <v>2023</v>
      </c>
      <c r="N6" s="128"/>
    </row>
    <row r="7" spans="1:14" s="2" customFormat="1">
      <c r="A7" s="35"/>
      <c r="B7" s="35"/>
      <c r="C7" s="319"/>
      <c r="D7" s="428"/>
      <c r="E7" s="428"/>
      <c r="F7" s="428"/>
      <c r="G7" s="428"/>
      <c r="H7" s="428"/>
      <c r="I7" s="428"/>
      <c r="J7" s="428"/>
      <c r="K7" s="428"/>
      <c r="L7" s="35"/>
      <c r="M7" s="35"/>
      <c r="N7" s="224"/>
    </row>
    <row r="8" spans="1:14" s="2" customFormat="1">
      <c r="B8" s="12" t="s">
        <v>323</v>
      </c>
      <c r="N8" s="128"/>
    </row>
    <row r="9" spans="1:14" s="2" customFormat="1">
      <c r="B9" s="367" t="s">
        <v>322</v>
      </c>
      <c r="C9" s="367"/>
      <c r="D9" s="367"/>
      <c r="E9" s="367"/>
      <c r="F9" s="367"/>
      <c r="G9" s="367"/>
      <c r="H9" s="367"/>
      <c r="I9" s="367"/>
      <c r="J9" s="367"/>
      <c r="K9" s="367"/>
      <c r="L9" s="367"/>
      <c r="N9" s="128"/>
    </row>
    <row r="10" spans="1:14" s="35" customFormat="1">
      <c r="B10" s="427"/>
      <c r="C10" s="427"/>
      <c r="D10" s="427"/>
      <c r="E10" s="427"/>
      <c r="F10" s="427"/>
      <c r="G10" s="427"/>
      <c r="H10" s="427"/>
      <c r="I10" s="427"/>
      <c r="J10" s="427"/>
      <c r="K10" s="427"/>
      <c r="L10" s="427"/>
      <c r="N10" s="224"/>
    </row>
    <row r="11" spans="1:14" s="2" customFormat="1">
      <c r="B11" s="199" t="s">
        <v>321</v>
      </c>
      <c r="C11" s="209" t="str">
        <f>'RFPR cover'!$C$14</f>
        <v>£m 12/13</v>
      </c>
      <c r="D11" s="712">
        <v>1265.4860531644608</v>
      </c>
      <c r="E11" s="713">
        <v>1328.1379138961815</v>
      </c>
      <c r="F11" s="713">
        <v>1378.3865163268545</v>
      </c>
      <c r="G11" s="713">
        <v>1424.9381196071745</v>
      </c>
      <c r="H11" s="713">
        <v>1473.0333324803823</v>
      </c>
      <c r="I11" s="713">
        <v>1519.8976145864676</v>
      </c>
      <c r="J11" s="713">
        <v>1578.3896959308863</v>
      </c>
      <c r="K11" s="714">
        <v>1644.8783070590291</v>
      </c>
      <c r="N11" s="128"/>
    </row>
    <row r="12" spans="1:14" s="2" customFormat="1">
      <c r="N12" s="128"/>
    </row>
    <row r="13" spans="1:14" s="2" customFormat="1">
      <c r="B13" s="12" t="s">
        <v>324</v>
      </c>
      <c r="C13" s="1"/>
      <c r="D13" s="1"/>
      <c r="E13" s="1"/>
      <c r="F13" s="1"/>
      <c r="G13" s="1"/>
      <c r="H13" s="1"/>
      <c r="I13" s="1"/>
      <c r="J13" s="1"/>
      <c r="K13" s="1"/>
      <c r="N13" s="128"/>
    </row>
    <row r="14" spans="1:14" s="2" customFormat="1">
      <c r="B14" s="367" t="s">
        <v>346</v>
      </c>
      <c r="C14" s="320"/>
      <c r="D14" s="320"/>
      <c r="E14" s="320"/>
      <c r="F14" s="320"/>
      <c r="G14" s="320"/>
      <c r="H14" s="320"/>
      <c r="I14" s="320"/>
      <c r="J14" s="320"/>
      <c r="K14" s="320"/>
      <c r="L14" s="292"/>
      <c r="N14" s="128"/>
    </row>
    <row r="15" spans="1:14" s="35" customFormat="1">
      <c r="B15" s="427"/>
      <c r="C15" s="319"/>
      <c r="D15" s="956"/>
      <c r="E15" s="956"/>
      <c r="F15" s="956"/>
      <c r="G15" s="956"/>
      <c r="H15" s="956"/>
      <c r="I15" s="956"/>
      <c r="J15" s="956"/>
      <c r="K15" s="956"/>
      <c r="N15" s="224"/>
    </row>
    <row r="16" spans="1:14" s="2" customFormat="1">
      <c r="B16" s="391" t="s">
        <v>325</v>
      </c>
      <c r="C16" s="209" t="str">
        <f>'RFPR cover'!$C$14</f>
        <v>£m 12/13</v>
      </c>
      <c r="D16" s="581">
        <v>1206.7009697943779</v>
      </c>
      <c r="E16" s="715">
        <f>D29</f>
        <v>1265.4860531644608</v>
      </c>
      <c r="F16" s="715">
        <f t="shared" ref="F16:K16" si="1">E29</f>
        <v>1328.3064256790747</v>
      </c>
      <c r="G16" s="715">
        <f t="shared" si="1"/>
        <v>1373.4860026148351</v>
      </c>
      <c r="H16" s="715">
        <f t="shared" si="1"/>
        <v>1422.0132575171854</v>
      </c>
      <c r="I16" s="715">
        <f t="shared" si="1"/>
        <v>1470.2057327117798</v>
      </c>
      <c r="J16" s="715">
        <f t="shared" si="1"/>
        <v>1514.8803601363907</v>
      </c>
      <c r="K16" s="584">
        <f t="shared" si="1"/>
        <v>1576.4502423495705</v>
      </c>
      <c r="N16" s="128"/>
    </row>
    <row r="17" spans="2:14" s="2" customFormat="1">
      <c r="B17" s="391" t="s">
        <v>326</v>
      </c>
      <c r="C17" s="209" t="str">
        <f>'RFPR cover'!$C$14</f>
        <v>£m 12/13</v>
      </c>
      <c r="D17" s="589"/>
      <c r="E17" s="590"/>
      <c r="F17" s="590"/>
      <c r="G17" s="590"/>
      <c r="H17" s="590"/>
      <c r="I17" s="590"/>
      <c r="J17" s="590"/>
      <c r="K17" s="683"/>
      <c r="N17" s="128"/>
    </row>
    <row r="18" spans="2:14" s="2" customFormat="1">
      <c r="B18" s="12" t="s">
        <v>327</v>
      </c>
      <c r="C18" s="209" t="str">
        <f>'RFPR cover'!$C$14</f>
        <v>£m 12/13</v>
      </c>
      <c r="D18" s="716">
        <f>SUM(D16:D17)</f>
        <v>1206.7009697943779</v>
      </c>
      <c r="E18" s="717">
        <f t="shared" ref="E18:K18" si="2">SUM(E16:E17)</f>
        <v>1265.4860531644608</v>
      </c>
      <c r="F18" s="717">
        <f t="shared" si="2"/>
        <v>1328.3064256790747</v>
      </c>
      <c r="G18" s="717">
        <f t="shared" si="2"/>
        <v>1373.4860026148351</v>
      </c>
      <c r="H18" s="717">
        <f t="shared" si="2"/>
        <v>1422.0132575171854</v>
      </c>
      <c r="I18" s="717">
        <f t="shared" si="2"/>
        <v>1470.2057327117798</v>
      </c>
      <c r="J18" s="717">
        <f t="shared" si="2"/>
        <v>1514.8803601363907</v>
      </c>
      <c r="K18" s="718">
        <f t="shared" si="2"/>
        <v>1576.4502423495705</v>
      </c>
      <c r="N18" s="128"/>
    </row>
    <row r="19" spans="2:14" s="2" customFormat="1">
      <c r="B19" s="393" t="s">
        <v>328</v>
      </c>
      <c r="C19" s="209" t="str">
        <f>'RFPR cover'!$C$14</f>
        <v>£m 12/13</v>
      </c>
      <c r="D19" s="585">
        <v>170.72268321246986</v>
      </c>
      <c r="E19" s="586">
        <v>178.41979956863486</v>
      </c>
      <c r="F19" s="586">
        <v>168.23953627078308</v>
      </c>
      <c r="G19" s="586">
        <v>166.03879012794701</v>
      </c>
      <c r="H19" s="957">
        <v>166.99794258707669</v>
      </c>
      <c r="I19" s="586">
        <v>163.86725513442539</v>
      </c>
      <c r="J19" s="586">
        <v>168.03253566482834</v>
      </c>
      <c r="K19" s="682">
        <v>174.13766306220077</v>
      </c>
      <c r="N19" s="128"/>
    </row>
    <row r="20" spans="2:14" s="2" customFormat="1">
      <c r="B20" s="393" t="s">
        <v>335</v>
      </c>
      <c r="C20" s="209" t="str">
        <f>'RFPR cover'!$C$14</f>
        <v>£m 12/13</v>
      </c>
      <c r="D20" s="589">
        <v>0</v>
      </c>
      <c r="E20" s="590">
        <v>0</v>
      </c>
      <c r="F20" s="590">
        <v>-4.9004952334883338</v>
      </c>
      <c r="G20" s="590">
        <v>1.8097263313609468</v>
      </c>
      <c r="H20" s="590">
        <v>1.5178414390475017</v>
      </c>
      <c r="I20" s="590">
        <v>1.8362581504875541</v>
      </c>
      <c r="J20" s="590">
        <v>2.7258395561567648</v>
      </c>
      <c r="K20" s="683">
        <v>-0.67643635867272423</v>
      </c>
      <c r="N20" s="128"/>
    </row>
    <row r="21" spans="2:14" s="2" customFormat="1">
      <c r="B21" s="392" t="s">
        <v>331</v>
      </c>
      <c r="C21" s="209" t="str">
        <f>'RFPR cover'!$C$14</f>
        <v>£m 12/13</v>
      </c>
      <c r="D21" s="716">
        <f t="shared" ref="D21:K21" si="3">SUM(D19:D20)</f>
        <v>170.72268321246986</v>
      </c>
      <c r="E21" s="717">
        <f t="shared" si="3"/>
        <v>178.41979956863486</v>
      </c>
      <c r="F21" s="717">
        <f t="shared" si="3"/>
        <v>163.33904103729475</v>
      </c>
      <c r="G21" s="717">
        <f t="shared" si="3"/>
        <v>167.84851645930794</v>
      </c>
      <c r="H21" s="717">
        <f t="shared" si="3"/>
        <v>168.51578402612421</v>
      </c>
      <c r="I21" s="717">
        <f t="shared" si="3"/>
        <v>165.70351328491296</v>
      </c>
      <c r="J21" s="717">
        <f t="shared" si="3"/>
        <v>170.7583752209851</v>
      </c>
      <c r="K21" s="718">
        <f t="shared" si="3"/>
        <v>173.46122670352804</v>
      </c>
      <c r="N21" s="128"/>
    </row>
    <row r="22" spans="2:14" s="2" customFormat="1">
      <c r="B22" s="393" t="s">
        <v>329</v>
      </c>
      <c r="C22" s="209" t="str">
        <f>'RFPR cover'!$C$14</f>
        <v>£m 12/13</v>
      </c>
      <c r="D22" s="585">
        <v>-111.93759984238713</v>
      </c>
      <c r="E22" s="586">
        <v>-115.59942705402113</v>
      </c>
      <c r="F22" s="586">
        <v>-118.15946410153421</v>
      </c>
      <c r="G22" s="586">
        <v>-119.48808692660846</v>
      </c>
      <c r="H22" s="586">
        <v>-120.43445031406178</v>
      </c>
      <c r="I22" s="957">
        <v>-121.09742126735206</v>
      </c>
      <c r="J22" s="957">
        <v>-109.20964110774575</v>
      </c>
      <c r="K22" s="958">
        <v>-109.14253503649043</v>
      </c>
      <c r="N22" s="128"/>
    </row>
    <row r="23" spans="2:14" s="2" customFormat="1">
      <c r="B23" s="393" t="s">
        <v>330</v>
      </c>
      <c r="C23" s="209" t="str">
        <f>'RFPR cover'!$C$14</f>
        <v>£m 12/13</v>
      </c>
      <c r="D23" s="589">
        <v>0</v>
      </c>
      <c r="E23" s="590">
        <v>0</v>
      </c>
      <c r="F23" s="590">
        <v>0</v>
      </c>
      <c r="G23" s="590">
        <v>0.16682536965066669</v>
      </c>
      <c r="H23" s="590">
        <v>0.11114148253186833</v>
      </c>
      <c r="I23" s="590">
        <v>6.8535407049833186E-2</v>
      </c>
      <c r="J23" s="590">
        <v>2.1148099940476946E-2</v>
      </c>
      <c r="K23" s="683">
        <v>-4.3946576027445797E-2</v>
      </c>
      <c r="N23" s="128"/>
    </row>
    <row r="24" spans="2:14" s="2" customFormat="1">
      <c r="B24" s="392" t="s">
        <v>332</v>
      </c>
      <c r="C24" s="209" t="str">
        <f>'RFPR cover'!$C$14</f>
        <v>£m 12/13</v>
      </c>
      <c r="D24" s="716">
        <f t="shared" ref="D24:K24" si="4">SUM(D22:D23)</f>
        <v>-111.93759984238713</v>
      </c>
      <c r="E24" s="717">
        <f t="shared" si="4"/>
        <v>-115.59942705402113</v>
      </c>
      <c r="F24" s="717">
        <f t="shared" si="4"/>
        <v>-118.15946410153421</v>
      </c>
      <c r="G24" s="717">
        <f t="shared" si="4"/>
        <v>-119.32126155695779</v>
      </c>
      <c r="H24" s="717">
        <f t="shared" si="4"/>
        <v>-120.32330883152991</v>
      </c>
      <c r="I24" s="717">
        <f t="shared" si="4"/>
        <v>-121.02888586030222</v>
      </c>
      <c r="J24" s="717">
        <f t="shared" si="4"/>
        <v>-109.18849300780528</v>
      </c>
      <c r="K24" s="718">
        <f t="shared" si="4"/>
        <v>-109.18648161251788</v>
      </c>
      <c r="N24" s="128"/>
    </row>
    <row r="25" spans="2:14" s="2" customFormat="1">
      <c r="B25" s="394" t="s">
        <v>268</v>
      </c>
      <c r="C25" s="209" t="str">
        <f>'RFPR cover'!$C$14</f>
        <v>£m 12/13</v>
      </c>
      <c r="D25" s="719"/>
      <c r="E25" s="720"/>
      <c r="F25" s="720"/>
      <c r="G25" s="720"/>
      <c r="H25" s="720"/>
      <c r="I25" s="720"/>
      <c r="J25" s="720"/>
      <c r="K25" s="721"/>
      <c r="N25" s="128"/>
    </row>
    <row r="26" spans="2:14" s="2" customFormat="1">
      <c r="B26" s="394" t="s">
        <v>268</v>
      </c>
      <c r="C26" s="209" t="str">
        <f>'RFPR cover'!$C$14</f>
        <v>£m 12/13</v>
      </c>
      <c r="D26" s="719"/>
      <c r="E26" s="720"/>
      <c r="F26" s="720"/>
      <c r="G26" s="720"/>
      <c r="H26" s="720"/>
      <c r="I26" s="720"/>
      <c r="J26" s="720"/>
      <c r="K26" s="721"/>
      <c r="N26" s="128"/>
    </row>
    <row r="27" spans="2:14" s="2" customFormat="1">
      <c r="B27" s="394" t="s">
        <v>268</v>
      </c>
      <c r="C27" s="209" t="str">
        <f>'RFPR cover'!$C$14</f>
        <v>£m 12/13</v>
      </c>
      <c r="D27" s="719"/>
      <c r="E27" s="720"/>
      <c r="F27" s="720"/>
      <c r="G27" s="720"/>
      <c r="H27" s="720"/>
      <c r="I27" s="720"/>
      <c r="J27" s="720"/>
      <c r="K27" s="721"/>
      <c r="N27" s="128"/>
    </row>
    <row r="28" spans="2:14" s="2" customFormat="1">
      <c r="B28" s="392" t="s">
        <v>333</v>
      </c>
      <c r="C28" s="209" t="str">
        <f>'RFPR cover'!$C$14</f>
        <v>£m 12/13</v>
      </c>
      <c r="D28" s="722">
        <f>SUM(D25:D27)</f>
        <v>0</v>
      </c>
      <c r="E28" s="723">
        <f t="shared" ref="E28:K28" si="5">SUM(E25:E27)</f>
        <v>0</v>
      </c>
      <c r="F28" s="723">
        <f t="shared" si="5"/>
        <v>0</v>
      </c>
      <c r="G28" s="723">
        <f t="shared" si="5"/>
        <v>0</v>
      </c>
      <c r="H28" s="723">
        <f t="shared" si="5"/>
        <v>0</v>
      </c>
      <c r="I28" s="723">
        <f t="shared" si="5"/>
        <v>0</v>
      </c>
      <c r="J28" s="723">
        <f t="shared" si="5"/>
        <v>0</v>
      </c>
      <c r="K28" s="724">
        <f t="shared" si="5"/>
        <v>0</v>
      </c>
      <c r="N28" s="128"/>
    </row>
    <row r="29" spans="2:14" s="2" customFormat="1">
      <c r="B29" s="12" t="s">
        <v>334</v>
      </c>
      <c r="C29" s="209" t="str">
        <f>'RFPR cover'!$C$14</f>
        <v>£m 12/13</v>
      </c>
      <c r="D29" s="725">
        <f>D18+D21+D24+D28</f>
        <v>1265.4860531644608</v>
      </c>
      <c r="E29" s="726">
        <f t="shared" ref="E29:K29" si="6">E18+E21+E24+E28</f>
        <v>1328.3064256790747</v>
      </c>
      <c r="F29" s="726">
        <f t="shared" si="6"/>
        <v>1373.4860026148351</v>
      </c>
      <c r="G29" s="726">
        <f t="shared" si="6"/>
        <v>1422.0132575171854</v>
      </c>
      <c r="H29" s="726">
        <f t="shared" si="6"/>
        <v>1470.2057327117798</v>
      </c>
      <c r="I29" s="726">
        <f t="shared" si="6"/>
        <v>1514.8803601363907</v>
      </c>
      <c r="J29" s="726">
        <f t="shared" si="6"/>
        <v>1576.4502423495705</v>
      </c>
      <c r="K29" s="727">
        <f t="shared" si="6"/>
        <v>1640.7249874405809</v>
      </c>
      <c r="N29" s="128"/>
    </row>
    <row r="30" spans="2:14" s="2" customFormat="1">
      <c r="B30" s="12"/>
      <c r="C30" s="209"/>
      <c r="D30" s="209"/>
      <c r="E30" s="209"/>
      <c r="F30" s="209"/>
      <c r="G30" s="209"/>
      <c r="H30" s="209"/>
      <c r="I30" s="209"/>
      <c r="J30" s="209"/>
      <c r="K30" s="209"/>
      <c r="L30" s="209"/>
      <c r="N30" s="128"/>
    </row>
    <row r="31" spans="2:14" s="2" customFormat="1">
      <c r="B31" s="12" t="s">
        <v>511</v>
      </c>
      <c r="C31" s="209" t="str">
        <f>'RFPR cover'!$C$14</f>
        <v>£m 12/13</v>
      </c>
      <c r="D31" s="725">
        <f t="shared" ref="D31:K31" si="7">(D20+D23+D28)</f>
        <v>0</v>
      </c>
      <c r="E31" s="725">
        <f t="shared" si="7"/>
        <v>0</v>
      </c>
      <c r="F31" s="725">
        <f t="shared" si="7"/>
        <v>-4.9004952334883338</v>
      </c>
      <c r="G31" s="725">
        <f t="shared" si="7"/>
        <v>1.9765517010116136</v>
      </c>
      <c r="H31" s="725">
        <f t="shared" si="7"/>
        <v>1.6289829215793701</v>
      </c>
      <c r="I31" s="725">
        <f t="shared" si="7"/>
        <v>1.9047935575373873</v>
      </c>
      <c r="J31" s="725">
        <f t="shared" si="7"/>
        <v>2.7469876560972417</v>
      </c>
      <c r="K31" s="725">
        <f t="shared" si="7"/>
        <v>-0.72038293470017001</v>
      </c>
      <c r="L31" s="209"/>
      <c r="N31" s="128"/>
    </row>
    <row r="32" spans="2:14" s="2" customFormat="1">
      <c r="B32" s="12" t="s">
        <v>512</v>
      </c>
      <c r="C32" s="209"/>
      <c r="D32" s="514" t="str">
        <f>IF(D5="Actuals",IF(ABS((D29-SUM($D$31:D31))-D11)&lt;'RFPR cover'!$F$14,"TRUE","FALSE"),"NA")</f>
        <v>TRUE</v>
      </c>
      <c r="E32" s="514" t="str">
        <f>IF(E5="Actuals",IF(ABS((E29-SUM($D$31:E31))-E11)&lt;'RFPR cover'!$F$14,"TRUE","FALSE"),"NA")</f>
        <v>FALSE</v>
      </c>
      <c r="F32" s="514" t="str">
        <f>IF(F5="Actuals",IF(ABS((F29-SUM($D$31:F31))-F11)&lt;'RFPR cover'!$F$14,"TRUE","FALSE"),"NA")</f>
        <v>TRUE</v>
      </c>
      <c r="G32" s="514" t="str">
        <f>IF(G5="Actuals",IF(ABS((G29-SUM($D$31:G31))-G11)&lt;'RFPR cover'!$F$14,"TRUE","FALSE"),"NA")</f>
        <v>TRUE</v>
      </c>
      <c r="H32" s="514" t="str">
        <f>IF(H5="Actuals",IF(ABS((H29-SUM($D$31:H31))-H11)&lt;'RFPR cover'!$F$14,"TRUE","FALSE"),"NA")</f>
        <v>NA</v>
      </c>
      <c r="I32" s="514" t="str">
        <f>IF(I5="Actuals",IF(ABS((I29-SUM($D$31:I31))-I11)&lt;'RFPR cover'!$F$14,"TRUE","FALSE"),"NA")</f>
        <v>NA</v>
      </c>
      <c r="J32" s="514" t="str">
        <f>IF(J5="Actuals",IF(ABS((J29-SUM($D$31:J31))-J11)&lt;'RFPR cover'!$F$14,"TRUE","FALSE"),"NA")</f>
        <v>NA</v>
      </c>
      <c r="K32" s="514" t="str">
        <f>IF(K5="Actuals",IF(ABS((K29-SUM($D$31:K31))-K11)&lt;'RFPR cover'!$F$14,"TRUE","FALSE"),"NA")</f>
        <v>NA</v>
      </c>
      <c r="L32" s="209"/>
      <c r="N32" s="128"/>
    </row>
    <row r="33" spans="2:14" s="35" customFormat="1">
      <c r="B33" s="51"/>
      <c r="C33" s="476"/>
      <c r="D33" s="477"/>
      <c r="E33" s="477"/>
      <c r="F33" s="477"/>
      <c r="G33" s="477"/>
      <c r="H33" s="477"/>
      <c r="I33" s="477"/>
      <c r="J33" s="477"/>
      <c r="K33" s="477"/>
      <c r="M33" s="2"/>
      <c r="N33" s="224"/>
    </row>
    <row r="34" spans="2:14" s="35" customFormat="1">
      <c r="B34" s="51" t="s">
        <v>42</v>
      </c>
      <c r="C34" s="266" t="s">
        <v>127</v>
      </c>
      <c r="D34" s="111">
        <f>Data!C$35</f>
        <v>1.0677429242873198</v>
      </c>
      <c r="E34" s="111">
        <f>Data!D$35</f>
        <v>1.1033002963114336</v>
      </c>
      <c r="F34" s="111">
        <f>Data!E$35</f>
        <v>1.1402881373250229</v>
      </c>
      <c r="G34" s="111">
        <f>Data!F$35</f>
        <v>1.171554102380709</v>
      </c>
      <c r="H34" s="111">
        <f>Data!G$35</f>
        <v>1.1958720752017984</v>
      </c>
      <c r="I34" s="111">
        <f>Data!H$35</f>
        <v>1.2162019004802289</v>
      </c>
      <c r="J34" s="111">
        <f>Data!I$35</f>
        <v>1.2420461908654337</v>
      </c>
      <c r="K34" s="111">
        <f>Data!J$35</f>
        <v>1.2740288802802187</v>
      </c>
      <c r="N34" s="224"/>
    </row>
    <row r="35" spans="2:14" s="31" customFormat="1">
      <c r="B35" s="37" t="s">
        <v>375</v>
      </c>
      <c r="C35" s="266" t="s">
        <v>127</v>
      </c>
      <c r="D35" s="111">
        <f>Data!C$34</f>
        <v>1.0603167467048125</v>
      </c>
      <c r="E35" s="112">
        <f>Data!D$34</f>
        <v>1.0830366813119445</v>
      </c>
      <c r="F35" s="112">
        <f>Data!E$34</f>
        <v>1.1235639113109226</v>
      </c>
      <c r="G35" s="112">
        <f>Data!F$34</f>
        <v>1.1578951670583426</v>
      </c>
      <c r="H35" s="112">
        <f>Data!G$34</f>
        <v>1.1878696229692449</v>
      </c>
      <c r="I35" s="112">
        <f>Data!H$34</f>
        <v>1.2080634065597218</v>
      </c>
      <c r="J35" s="112">
        <f>Data!I$34</f>
        <v>1.2337347539491161</v>
      </c>
      <c r="K35" s="113">
        <f>Data!J$34</f>
        <v>1.2655034238633056</v>
      </c>
      <c r="L35" s="233"/>
      <c r="N35" s="211"/>
    </row>
    <row r="36" spans="2:14" s="31" customFormat="1">
      <c r="B36" s="170" t="s">
        <v>509</v>
      </c>
      <c r="C36" s="266" t="s">
        <v>127</v>
      </c>
      <c r="D36" s="868">
        <f>INDEX(Data!$F$14:$F$30,MATCH($D$6-1,Data!$C$14:$C$30,0),0)/IF('RFPR cover'!$C$6="ED1",Data!$E$17,Data!$E$14)</f>
        <v>1.0526208235414325</v>
      </c>
      <c r="E36" s="869"/>
      <c r="F36" s="869"/>
      <c r="G36" s="869"/>
      <c r="H36" s="869"/>
      <c r="I36" s="869"/>
      <c r="J36" s="869"/>
      <c r="K36" s="869"/>
      <c r="L36" s="233"/>
      <c r="N36" s="211"/>
    </row>
    <row r="37" spans="2:14" s="35" customFormat="1">
      <c r="B37" s="51"/>
      <c r="C37" s="476"/>
      <c r="D37" s="477"/>
      <c r="E37" s="477"/>
      <c r="F37" s="477"/>
      <c r="G37" s="477"/>
      <c r="H37" s="477"/>
      <c r="I37" s="477"/>
      <c r="J37" s="477"/>
      <c r="K37" s="477"/>
      <c r="N37" s="224"/>
    </row>
    <row r="38" spans="2:14" s="2" customFormat="1">
      <c r="B38" s="12" t="s">
        <v>334</v>
      </c>
      <c r="C38" s="265" t="s">
        <v>128</v>
      </c>
      <c r="D38" s="725">
        <f t="shared" ref="D38:K38" si="8">D29*D34</f>
        <v>1351.2137790506399</v>
      </c>
      <c r="E38" s="725">
        <f t="shared" si="8"/>
        <v>1465.5208730441043</v>
      </c>
      <c r="F38" s="725">
        <f t="shared" si="8"/>
        <v>1566.1697955636619</v>
      </c>
      <c r="G38" s="725">
        <f t="shared" si="8"/>
        <v>1665.9654654840142</v>
      </c>
      <c r="H38" s="725">
        <f t="shared" si="8"/>
        <v>1758.1779805516167</v>
      </c>
      <c r="I38" s="725">
        <f t="shared" si="8"/>
        <v>1842.400372998052</v>
      </c>
      <c r="J38" s="725">
        <f t="shared" si="8"/>
        <v>1958.0240185991738</v>
      </c>
      <c r="K38" s="725">
        <f t="shared" si="8"/>
        <v>2090.3310185966989</v>
      </c>
      <c r="N38" s="128"/>
    </row>
    <row r="39" spans="2:14" s="2" customFormat="1">
      <c r="B39" s="12"/>
      <c r="C39" s="209"/>
      <c r="D39" s="209"/>
      <c r="E39" s="209"/>
      <c r="F39" s="209"/>
      <c r="G39" s="209"/>
      <c r="H39" s="209"/>
      <c r="I39" s="209"/>
      <c r="J39" s="209"/>
      <c r="K39" s="209"/>
      <c r="N39" s="128"/>
    </row>
    <row r="40" spans="2:14" s="2" customFormat="1">
      <c r="B40" s="505" t="s">
        <v>337</v>
      </c>
      <c r="C40" s="209" t="s">
        <v>340</v>
      </c>
      <c r="D40" s="407">
        <f>INDEX(Data!$K$73:$T$100,MATCH('RFPR cover'!$C$5,Data!$B$73:$B$100,0),MATCH('R9 - RAV'!D$6,Data!$K$72:$T$72,0))</f>
        <v>2.5499999999999998E-2</v>
      </c>
      <c r="E40" s="408">
        <f>INDEX(Data!$K$73:$T$100,MATCH('RFPR cover'!$C$5,Data!$B$73:$B$100,0),MATCH('R9 - RAV'!E$6,Data!$K$72:$T$72,0))</f>
        <v>2.3799999999999998E-2</v>
      </c>
      <c r="F40" s="408">
        <f>INDEX(Data!$K$73:$T$100,MATCH('RFPR cover'!$C$5,Data!$B$73:$B$100,0),MATCH('R9 - RAV'!F$6,Data!$K$72:$T$72,0))</f>
        <v>2.2200000000000001E-2</v>
      </c>
      <c r="G40" s="408">
        <f>INDEX(Data!$K$73:$T$100,MATCH('RFPR cover'!$C$5,Data!$B$73:$B$100,0),MATCH('R9 - RAV'!G$6,Data!$K$72:$T$72,0))</f>
        <v>1.9099999999999999E-2</v>
      </c>
      <c r="H40" s="408">
        <f>INDEX(Data!$K$73:$T$100,MATCH('RFPR cover'!$C$5,Data!$B$73:$B$100,0),MATCH('R9 - RAV'!H$6,Data!$K$72:$T$72,0))</f>
        <v>1.5800000000000002E-2</v>
      </c>
      <c r="I40" s="408">
        <f>INDEX(Data!$K$73:$T$100,MATCH('RFPR cover'!$C$5,Data!$B$73:$B$100,0),MATCH('R9 - RAV'!I$6,Data!$K$72:$T$72,0))</f>
        <v>1.09E-2</v>
      </c>
      <c r="J40" s="408">
        <f>INDEX(Data!$K$73:$T$100,MATCH('RFPR cover'!$C$5,Data!$B$73:$B$100,0),MATCH('R9 - RAV'!J$6,Data!$K$72:$T$72,0))</f>
        <v>7.7000000000000002E-3</v>
      </c>
      <c r="K40" s="409">
        <f>INDEX(Data!$K$73:$T$100,MATCH('RFPR cover'!$C$5,Data!$B$73:$B$100,0),MATCH('R9 - RAV'!K$6,Data!$K$72:$T$72,0))</f>
        <v>4.5999999999999999E-3</v>
      </c>
      <c r="N40" s="128"/>
    </row>
    <row r="41" spans="2:14" s="2" customFormat="1">
      <c r="B41" s="505" t="s">
        <v>338</v>
      </c>
      <c r="C41" s="209" t="s">
        <v>340</v>
      </c>
      <c r="D41" s="410">
        <f>'RFPR cover'!$C$10</f>
        <v>6.4000000000000001E-2</v>
      </c>
      <c r="E41" s="411">
        <f>'RFPR cover'!$C$10</f>
        <v>6.4000000000000001E-2</v>
      </c>
      <c r="F41" s="411">
        <f>'RFPR cover'!$C$10</f>
        <v>6.4000000000000001E-2</v>
      </c>
      <c r="G41" s="411">
        <f>'RFPR cover'!$C$10</f>
        <v>6.4000000000000001E-2</v>
      </c>
      <c r="H41" s="411">
        <f>'RFPR cover'!$C$10</f>
        <v>6.4000000000000001E-2</v>
      </c>
      <c r="I41" s="411">
        <f>'RFPR cover'!$C$10</f>
        <v>6.4000000000000001E-2</v>
      </c>
      <c r="J41" s="411">
        <f>'RFPR cover'!$C$10</f>
        <v>6.4000000000000001E-2</v>
      </c>
      <c r="K41" s="412">
        <f>'RFPR cover'!$C$10</f>
        <v>6.4000000000000001E-2</v>
      </c>
      <c r="N41" s="128"/>
    </row>
    <row r="42" spans="2:14" s="2" customFormat="1">
      <c r="B42" s="505" t="s">
        <v>339</v>
      </c>
      <c r="C42" s="209" t="s">
        <v>7</v>
      </c>
      <c r="D42" s="413">
        <f>'RFPR cover'!$C$12</f>
        <v>0.65</v>
      </c>
      <c r="E42" s="414">
        <f>'RFPR cover'!$C$12</f>
        <v>0.65</v>
      </c>
      <c r="F42" s="414">
        <f>'RFPR cover'!$C$12</f>
        <v>0.65</v>
      </c>
      <c r="G42" s="414">
        <f>'RFPR cover'!$C$12</f>
        <v>0.65</v>
      </c>
      <c r="H42" s="414">
        <f>'RFPR cover'!$C$12</f>
        <v>0.65</v>
      </c>
      <c r="I42" s="414">
        <f>'RFPR cover'!$C$12</f>
        <v>0.65</v>
      </c>
      <c r="J42" s="414">
        <f>'RFPR cover'!$C$12</f>
        <v>0.65</v>
      </c>
      <c r="K42" s="415">
        <f>'RFPR cover'!$C$12</f>
        <v>0.65</v>
      </c>
      <c r="N42" s="128"/>
    </row>
    <row r="43" spans="2:14">
      <c r="B43" s="199" t="s">
        <v>273</v>
      </c>
      <c r="C43" s="395" t="s">
        <v>340</v>
      </c>
      <c r="D43" s="404">
        <f t="shared" ref="D43:K43" si="9">D40*D42+D41*(1-D42)</f>
        <v>3.8974999999999996E-2</v>
      </c>
      <c r="E43" s="405">
        <f t="shared" si="9"/>
        <v>3.7870000000000001E-2</v>
      </c>
      <c r="F43" s="405">
        <f t="shared" si="9"/>
        <v>3.6830000000000002E-2</v>
      </c>
      <c r="G43" s="405">
        <f t="shared" si="9"/>
        <v>3.4814999999999999E-2</v>
      </c>
      <c r="H43" s="405">
        <f t="shared" si="9"/>
        <v>3.2670000000000005E-2</v>
      </c>
      <c r="I43" s="405">
        <f t="shared" si="9"/>
        <v>2.9485000000000001E-2</v>
      </c>
      <c r="J43" s="405">
        <f t="shared" si="9"/>
        <v>2.7404999999999999E-2</v>
      </c>
      <c r="K43" s="406">
        <f t="shared" si="9"/>
        <v>2.5389999999999999E-2</v>
      </c>
      <c r="L43" s="210"/>
    </row>
    <row r="44" spans="2:14">
      <c r="C44" s="222"/>
      <c r="D44" s="217"/>
      <c r="E44" s="217"/>
      <c r="F44" s="217"/>
      <c r="G44" s="217"/>
      <c r="H44" s="217"/>
      <c r="I44" s="217"/>
      <c r="J44" s="217"/>
      <c r="K44" s="217"/>
    </row>
    <row r="45" spans="2:14">
      <c r="B45" s="370" t="s">
        <v>341</v>
      </c>
      <c r="C45" s="395" t="str">
        <f>'RFPR cover'!$C$14</f>
        <v>£m 12/13</v>
      </c>
      <c r="D45" s="94">
        <f t="shared" ref="D45:K45" si="10">D47*D42</f>
        <v>788.03235189334362</v>
      </c>
      <c r="E45" s="95">
        <f t="shared" si="10"/>
        <v>827.23061808799173</v>
      </c>
      <c r="F45" s="95">
        <f t="shared" si="10"/>
        <v>862.22624252220021</v>
      </c>
      <c r="G45" s="95">
        <f t="shared" si="10"/>
        <v>892.98868104612245</v>
      </c>
      <c r="H45" s="95">
        <f t="shared" si="10"/>
        <v>924.85474845731619</v>
      </c>
      <c r="I45" s="95">
        <f t="shared" si="10"/>
        <v>956.05221094535875</v>
      </c>
      <c r="J45" s="95">
        <f t="shared" si="10"/>
        <v>991.01612031821662</v>
      </c>
      <c r="K45" s="96">
        <f t="shared" si="10"/>
        <v>1032.3783369928585</v>
      </c>
    </row>
    <row r="46" spans="2:14">
      <c r="B46" s="370" t="s">
        <v>232</v>
      </c>
      <c r="C46" s="395" t="str">
        <f>'RFPR cover'!$C$14</f>
        <v>£m 12/13</v>
      </c>
      <c r="D46" s="520">
        <f t="shared" ref="D46:K46" si="11">D47*(1-D42)</f>
        <v>424.32511255795418</v>
      </c>
      <c r="E46" s="521">
        <f t="shared" si="11"/>
        <v>445.43187127814934</v>
      </c>
      <c r="F46" s="521">
        <f t="shared" si="11"/>
        <v>464.27566905041544</v>
      </c>
      <c r="G46" s="521">
        <f t="shared" si="11"/>
        <v>480.84005902483511</v>
      </c>
      <c r="H46" s="521">
        <f t="shared" si="11"/>
        <v>497.99871070778562</v>
      </c>
      <c r="I46" s="521">
        <f t="shared" si="11"/>
        <v>514.7973443551931</v>
      </c>
      <c r="J46" s="521">
        <f t="shared" si="11"/>
        <v>533.62406478673199</v>
      </c>
      <c r="K46" s="522">
        <f t="shared" si="11"/>
        <v>555.89602761153913</v>
      </c>
    </row>
    <row r="47" spans="2:14">
      <c r="B47" s="199" t="s">
        <v>231</v>
      </c>
      <c r="C47" s="209" t="str">
        <f>'RFPR cover'!$C$14</f>
        <v>£m 12/13</v>
      </c>
      <c r="D47" s="101">
        <f t="shared" ref="D47:K47" si="12">AVERAGE(D16,D29*(1/(1+D43)))</f>
        <v>1212.3574644512978</v>
      </c>
      <c r="E47" s="102">
        <f t="shared" si="12"/>
        <v>1272.662489366141</v>
      </c>
      <c r="F47" s="102">
        <f t="shared" si="12"/>
        <v>1326.5019115726157</v>
      </c>
      <c r="G47" s="102">
        <f t="shared" si="12"/>
        <v>1373.8287400709576</v>
      </c>
      <c r="H47" s="102">
        <f t="shared" si="12"/>
        <v>1422.8534591651019</v>
      </c>
      <c r="I47" s="102">
        <f t="shared" si="12"/>
        <v>1470.8495553005519</v>
      </c>
      <c r="J47" s="102">
        <f t="shared" si="12"/>
        <v>1524.6401851049486</v>
      </c>
      <c r="K47" s="103">
        <f t="shared" si="12"/>
        <v>1588.2743646043978</v>
      </c>
      <c r="N47" s="213"/>
    </row>
    <row r="48" spans="2:14">
      <c r="B48" s="199"/>
      <c r="C48" s="209"/>
      <c r="D48" s="209"/>
      <c r="E48" s="209"/>
      <c r="F48" s="209"/>
      <c r="G48" s="209"/>
      <c r="H48" s="209"/>
      <c r="I48" s="209"/>
      <c r="J48" s="209"/>
      <c r="K48" s="209"/>
      <c r="N48" s="213"/>
    </row>
    <row r="49" spans="2:14">
      <c r="B49" s="370" t="s">
        <v>342</v>
      </c>
      <c r="C49" s="395" t="str">
        <f>'RFPR cover'!$C$14</f>
        <v>£m 12/13</v>
      </c>
      <c r="D49" s="728">
        <f>D40*D45</f>
        <v>20.094824973280261</v>
      </c>
      <c r="E49" s="729">
        <f t="shared" ref="D49:K50" si="13">E40*E45</f>
        <v>19.688088710494203</v>
      </c>
      <c r="F49" s="729">
        <f t="shared" si="13"/>
        <v>19.141422583992846</v>
      </c>
      <c r="G49" s="729">
        <f t="shared" si="13"/>
        <v>17.056083807980936</v>
      </c>
      <c r="H49" s="729">
        <f t="shared" si="13"/>
        <v>14.612705025625598</v>
      </c>
      <c r="I49" s="729">
        <f t="shared" si="13"/>
        <v>10.42096909930441</v>
      </c>
      <c r="J49" s="729">
        <f t="shared" si="13"/>
        <v>7.6308241264502685</v>
      </c>
      <c r="K49" s="730">
        <f t="shared" si="13"/>
        <v>4.7489403501671488</v>
      </c>
    </row>
    <row r="50" spans="2:14">
      <c r="B50" s="370" t="s">
        <v>229</v>
      </c>
      <c r="C50" s="395" t="str">
        <f>'RFPR cover'!$C$14</f>
        <v>£m 12/13</v>
      </c>
      <c r="D50" s="91">
        <f t="shared" si="13"/>
        <v>27.156807203709068</v>
      </c>
      <c r="E50" s="92">
        <f t="shared" si="13"/>
        <v>28.50763976180156</v>
      </c>
      <c r="F50" s="92">
        <f t="shared" si="13"/>
        <v>29.713642819226589</v>
      </c>
      <c r="G50" s="92">
        <f t="shared" si="13"/>
        <v>30.773763777589448</v>
      </c>
      <c r="H50" s="92">
        <f t="shared" si="13"/>
        <v>31.87191748529828</v>
      </c>
      <c r="I50" s="92">
        <f t="shared" si="13"/>
        <v>32.947030038732358</v>
      </c>
      <c r="J50" s="92">
        <f t="shared" si="13"/>
        <v>34.151940146350846</v>
      </c>
      <c r="K50" s="93">
        <f t="shared" si="13"/>
        <v>35.577345767138503</v>
      </c>
      <c r="N50" s="213"/>
    </row>
    <row r="51" spans="2:14">
      <c r="B51" s="199" t="s">
        <v>344</v>
      </c>
      <c r="C51" s="395" t="str">
        <f>'RFPR cover'!$C$14</f>
        <v>£m 12/13</v>
      </c>
      <c r="D51" s="101">
        <f>SUM(D49:D50)</f>
        <v>47.251632176989332</v>
      </c>
      <c r="E51" s="102">
        <f t="shared" ref="E51:K51" si="14">SUM(E49:E50)</f>
        <v>48.195728472295762</v>
      </c>
      <c r="F51" s="102">
        <f t="shared" si="14"/>
        <v>48.855065403219434</v>
      </c>
      <c r="G51" s="102">
        <f t="shared" si="14"/>
        <v>47.829847585570384</v>
      </c>
      <c r="H51" s="102">
        <f t="shared" si="14"/>
        <v>46.484622510923877</v>
      </c>
      <c r="I51" s="102">
        <f t="shared" si="14"/>
        <v>43.367999138036765</v>
      </c>
      <c r="J51" s="102">
        <f t="shared" si="14"/>
        <v>41.782764272801117</v>
      </c>
      <c r="K51" s="103">
        <f t="shared" si="14"/>
        <v>40.326286117305649</v>
      </c>
      <c r="N51" s="213"/>
    </row>
    <row r="53" spans="2:14" s="31" customFormat="1">
      <c r="B53" s="370" t="s">
        <v>341</v>
      </c>
      <c r="C53" s="265" t="s">
        <v>128</v>
      </c>
      <c r="D53" s="94">
        <f t="shared" ref="D53:K54" si="15">D$35*D45</f>
        <v>835.5638996576921</v>
      </c>
      <c r="E53" s="95">
        <f t="shared" si="15"/>
        <v>895.92110329364721</v>
      </c>
      <c r="F53" s="95">
        <f t="shared" si="15"/>
        <v>968.7662894831634</v>
      </c>
      <c r="G53" s="95">
        <f t="shared" si="15"/>
        <v>1033.987278021109</v>
      </c>
      <c r="H53" s="95">
        <f t="shared" si="15"/>
        <v>1098.606861351308</v>
      </c>
      <c r="I53" s="95">
        <f t="shared" si="15"/>
        <v>1154.9716908036039</v>
      </c>
      <c r="J53" s="95">
        <f t="shared" si="15"/>
        <v>1222.6510293604026</v>
      </c>
      <c r="K53" s="96">
        <f t="shared" si="15"/>
        <v>1306.4783201867681</v>
      </c>
      <c r="L53" s="233"/>
      <c r="N53" s="211"/>
    </row>
    <row r="54" spans="2:14" s="31" customFormat="1">
      <c r="B54" s="370" t="s">
        <v>232</v>
      </c>
      <c r="C54" s="265" t="s">
        <v>128</v>
      </c>
      <c r="D54" s="520">
        <f t="shared" si="15"/>
        <v>449.91902289260332</v>
      </c>
      <c r="E54" s="521">
        <f t="shared" si="15"/>
        <v>482.41905561965615</v>
      </c>
      <c r="F54" s="521">
        <f t="shared" si="15"/>
        <v>521.64338664478021</v>
      </c>
      <c r="G54" s="521">
        <f t="shared" si="15"/>
        <v>556.76238047290474</v>
      </c>
      <c r="H54" s="521">
        <f t="shared" si="15"/>
        <v>591.55754072762738</v>
      </c>
      <c r="I54" s="521">
        <f t="shared" si="15"/>
        <v>621.90783350963272</v>
      </c>
      <c r="J54" s="521">
        <f t="shared" si="15"/>
        <v>658.35055427098598</v>
      </c>
      <c r="K54" s="522">
        <f t="shared" si="15"/>
        <v>703.48832625441344</v>
      </c>
      <c r="L54" s="233"/>
      <c r="N54" s="211"/>
    </row>
    <row r="55" spans="2:14">
      <c r="B55" s="199" t="s">
        <v>343</v>
      </c>
      <c r="C55" s="265" t="s">
        <v>128</v>
      </c>
      <c r="D55" s="731">
        <f>SUM(D53:D54)</f>
        <v>1285.4829225502954</v>
      </c>
      <c r="E55" s="732">
        <f t="shared" ref="E55:K55" si="16">SUM(E53:E54)</f>
        <v>1378.3401589133034</v>
      </c>
      <c r="F55" s="732">
        <f t="shared" si="16"/>
        <v>1490.4096761279436</v>
      </c>
      <c r="G55" s="732">
        <f t="shared" si="16"/>
        <v>1590.7496584940136</v>
      </c>
      <c r="H55" s="732">
        <f t="shared" si="16"/>
        <v>1690.1644020789354</v>
      </c>
      <c r="I55" s="732">
        <f t="shared" si="16"/>
        <v>1776.8795243132367</v>
      </c>
      <c r="J55" s="732">
        <f t="shared" si="16"/>
        <v>1881.0015836313887</v>
      </c>
      <c r="K55" s="733">
        <f t="shared" si="16"/>
        <v>2009.9666464411816</v>
      </c>
    </row>
    <row r="56" spans="2:14" s="31" customFormat="1">
      <c r="B56" s="199"/>
      <c r="C56" s="209"/>
      <c r="D56" s="209"/>
      <c r="E56" s="209"/>
      <c r="F56" s="209"/>
      <c r="G56" s="209"/>
      <c r="H56" s="209"/>
      <c r="I56" s="209"/>
      <c r="J56" s="209"/>
      <c r="K56" s="209"/>
      <c r="L56" s="233"/>
      <c r="N56" s="211"/>
    </row>
    <row r="57" spans="2:14" s="31" customFormat="1">
      <c r="B57" s="370" t="s">
        <v>342</v>
      </c>
      <c r="C57" s="265" t="s">
        <v>128</v>
      </c>
      <c r="D57" s="94">
        <f t="shared" ref="D57:K58" si="17">D$35*D49</f>
        <v>21.306879441271146</v>
      </c>
      <c r="E57" s="95">
        <f t="shared" si="17"/>
        <v>21.322922258388804</v>
      </c>
      <c r="F57" s="95">
        <f t="shared" si="17"/>
        <v>21.506611626526229</v>
      </c>
      <c r="G57" s="95">
        <f t="shared" si="17"/>
        <v>19.749157010203177</v>
      </c>
      <c r="H57" s="95">
        <f t="shared" si="17"/>
        <v>17.357988409350668</v>
      </c>
      <c r="I57" s="95">
        <f t="shared" si="17"/>
        <v>12.58919142975928</v>
      </c>
      <c r="J57" s="95">
        <f t="shared" si="17"/>
        <v>9.4144129260751015</v>
      </c>
      <c r="K57" s="96">
        <f t="shared" si="17"/>
        <v>6.009800272859132</v>
      </c>
      <c r="L57" s="233"/>
      <c r="N57" s="211"/>
    </row>
    <row r="58" spans="2:14">
      <c r="B58" s="370" t="s">
        <v>238</v>
      </c>
      <c r="C58" s="265" t="s">
        <v>128</v>
      </c>
      <c r="D58" s="734">
        <f t="shared" si="17"/>
        <v>28.794817465126613</v>
      </c>
      <c r="E58" s="735">
        <f t="shared" si="17"/>
        <v>30.874819559657993</v>
      </c>
      <c r="F58" s="735">
        <f t="shared" si="17"/>
        <v>33.385176745265937</v>
      </c>
      <c r="G58" s="735">
        <f t="shared" si="17"/>
        <v>35.632792350265909</v>
      </c>
      <c r="H58" s="735">
        <f t="shared" si="17"/>
        <v>37.85968260656815</v>
      </c>
      <c r="I58" s="735">
        <f t="shared" si="17"/>
        <v>39.802101344616496</v>
      </c>
      <c r="J58" s="735">
        <f t="shared" si="17"/>
        <v>42.134435473343103</v>
      </c>
      <c r="K58" s="736">
        <f t="shared" si="17"/>
        <v>45.023252880282456</v>
      </c>
    </row>
    <row r="59" spans="2:14">
      <c r="B59" s="199" t="s">
        <v>344</v>
      </c>
      <c r="C59" s="265" t="s">
        <v>128</v>
      </c>
      <c r="D59" s="101">
        <f t="shared" ref="D59:K59" si="18">SUM(D57:D58)</f>
        <v>50.101696906397763</v>
      </c>
      <c r="E59" s="102">
        <f t="shared" si="18"/>
        <v>52.197741818046794</v>
      </c>
      <c r="F59" s="102">
        <f t="shared" si="18"/>
        <v>54.891788371792167</v>
      </c>
      <c r="G59" s="102">
        <f t="shared" si="18"/>
        <v>55.381949360469086</v>
      </c>
      <c r="H59" s="102">
        <f t="shared" si="18"/>
        <v>55.217671015918818</v>
      </c>
      <c r="I59" s="102">
        <f t="shared" si="18"/>
        <v>52.391292774375778</v>
      </c>
      <c r="J59" s="102">
        <f t="shared" si="18"/>
        <v>51.548848399418205</v>
      </c>
      <c r="K59" s="103">
        <f t="shared" si="18"/>
        <v>51.033053153141587</v>
      </c>
    </row>
    <row r="60" spans="2:14">
      <c r="B60" s="14"/>
      <c r="C60" s="234"/>
      <c r="D60" s="234"/>
      <c r="E60" s="234"/>
      <c r="F60" s="234"/>
      <c r="G60" s="234"/>
      <c r="H60" s="234"/>
      <c r="I60" s="234"/>
      <c r="J60" s="234"/>
      <c r="K60" s="234"/>
    </row>
    <row r="61" spans="2:14">
      <c r="B61" s="14"/>
      <c r="C61" s="234"/>
      <c r="D61" s="234"/>
      <c r="E61" s="234"/>
      <c r="F61" s="234"/>
      <c r="G61" s="234"/>
      <c r="H61" s="234"/>
      <c r="I61" s="234"/>
      <c r="J61" s="234"/>
      <c r="K61" s="234"/>
    </row>
    <row r="62" spans="2:14">
      <c r="B62" s="14"/>
      <c r="C62" s="234"/>
      <c r="D62" s="234"/>
      <c r="E62" s="234"/>
      <c r="F62" s="234"/>
      <c r="G62" s="234"/>
      <c r="H62" s="234"/>
      <c r="I62" s="234"/>
      <c r="J62" s="234"/>
      <c r="K62" s="234"/>
    </row>
    <row r="63" spans="2:14">
      <c r="B63" s="14"/>
      <c r="C63" s="234"/>
      <c r="D63" s="234"/>
      <c r="E63" s="234"/>
      <c r="F63" s="234"/>
      <c r="G63" s="234"/>
      <c r="H63" s="234"/>
      <c r="I63" s="234"/>
      <c r="J63" s="234"/>
      <c r="K63" s="234"/>
    </row>
  </sheetData>
  <conditionalFormatting sqref="D6:K6">
    <cfRule type="expression" dxfId="31" priority="13">
      <formula>AND(D$5="Actuals",E$5="Forecast")</formula>
    </cfRule>
  </conditionalFormatting>
  <conditionalFormatting sqref="D5:K5">
    <cfRule type="expression" dxfId="30"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R90"/>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20" t="s">
        <v>261</v>
      </c>
      <c r="B1" s="916"/>
      <c r="C1" s="255"/>
      <c r="D1" s="255"/>
      <c r="E1" s="255"/>
      <c r="F1" s="255"/>
      <c r="G1" s="255"/>
      <c r="H1" s="255"/>
      <c r="I1" s="256"/>
      <c r="J1" s="256"/>
      <c r="K1" s="257"/>
      <c r="L1" s="258"/>
    </row>
    <row r="2" spans="1:13" s="31" customFormat="1" ht="21">
      <c r="A2" s="909" t="str">
        <f>'RFPR cover'!C5</f>
        <v>WPD-SWEST</v>
      </c>
      <c r="B2" s="901"/>
      <c r="C2" s="29"/>
      <c r="D2" s="29"/>
      <c r="E2" s="29"/>
      <c r="F2" s="29"/>
      <c r="G2" s="29"/>
      <c r="H2" s="29"/>
      <c r="I2" s="27"/>
      <c r="J2" s="27"/>
      <c r="K2" s="27"/>
      <c r="L2" s="122"/>
    </row>
    <row r="3" spans="1:13" s="31" customFormat="1" ht="21">
      <c r="A3" s="912">
        <f>'RFPR cover'!C7</f>
        <v>2020</v>
      </c>
      <c r="B3" s="919"/>
      <c r="C3" s="259"/>
      <c r="D3" s="259"/>
      <c r="E3" s="259"/>
      <c r="F3" s="259"/>
      <c r="G3" s="259"/>
      <c r="H3" s="259"/>
      <c r="I3" s="254"/>
      <c r="J3" s="254"/>
      <c r="K3" s="254"/>
      <c r="L3" s="260"/>
    </row>
    <row r="4" spans="1:13" s="31" customFormat="1" ht="12.75" customHeight="1">
      <c r="A4" s="261"/>
      <c r="B4" s="262"/>
      <c r="C4" s="261"/>
      <c r="D4" s="261"/>
      <c r="E4" s="261"/>
      <c r="F4" s="261"/>
      <c r="G4" s="261"/>
      <c r="H4" s="261"/>
      <c r="I4" s="263"/>
      <c r="J4" s="263"/>
      <c r="K4" s="263"/>
      <c r="L4" s="264"/>
      <c r="M4" s="262"/>
    </row>
    <row r="5" spans="1:13" s="2" customFormat="1">
      <c r="B5" s="3"/>
      <c r="C5" s="3"/>
      <c r="D5" s="388" t="str">
        <f>IF(D6&lt;=('RFPR cover'!$C$7-1),"Actuals","Forecast")</f>
        <v>Actuals</v>
      </c>
      <c r="E5" s="388" t="str">
        <f>IF(E6&lt;=('RFPR cover'!$C$7-1),"Actuals","Forecast")</f>
        <v>Actuals</v>
      </c>
      <c r="F5" s="388" t="str">
        <f>IF(F6&lt;=('RFPR cover'!$C$7-1),"Actuals","Forecast")</f>
        <v>Actuals</v>
      </c>
      <c r="G5" s="388" t="str">
        <f>IF(G6&lt;=('RFPR cover'!$C$7-1),"Actuals","Forecast")</f>
        <v>Actuals</v>
      </c>
      <c r="H5" s="388" t="str">
        <f>IF(H6&lt;=('RFPR cover'!$C$7-1),"Actuals","Forecast")</f>
        <v>Forecast</v>
      </c>
      <c r="I5" s="388" t="str">
        <f>IF(I6&lt;=('RFPR cover'!$C$7-1),"Actuals","Forecast")</f>
        <v>Forecast</v>
      </c>
      <c r="J5" s="388" t="str">
        <f>IF(J6&lt;=('RFPR cover'!$C$7-1),"Actuals","Forecast")</f>
        <v>Forecast</v>
      </c>
      <c r="K5" s="388" t="str">
        <f>IF(K6&lt;=('RFPR cover'!$C$7-1),"Actuals","Forecast")</f>
        <v>Forecast</v>
      </c>
    </row>
    <row r="6" spans="1:13" s="2" customFormat="1">
      <c r="D6" s="116">
        <f>'RFPR cover'!$C$13</f>
        <v>2016</v>
      </c>
      <c r="E6" s="117">
        <f>D6+1</f>
        <v>2017</v>
      </c>
      <c r="F6" s="117">
        <f t="shared" ref="F6:K6" si="0">E6+1</f>
        <v>2018</v>
      </c>
      <c r="G6" s="117">
        <f t="shared" si="0"/>
        <v>2019</v>
      </c>
      <c r="H6" s="117">
        <f t="shared" si="0"/>
        <v>2020</v>
      </c>
      <c r="I6" s="117">
        <f t="shared" si="0"/>
        <v>2021</v>
      </c>
      <c r="J6" s="117">
        <f t="shared" si="0"/>
        <v>2022</v>
      </c>
      <c r="K6" s="194">
        <f t="shared" si="0"/>
        <v>2023</v>
      </c>
    </row>
    <row r="7" spans="1:13" s="35" customFormat="1">
      <c r="D7" s="428"/>
      <c r="E7" s="428"/>
      <c r="F7" s="428"/>
      <c r="G7" s="428"/>
      <c r="H7" s="428"/>
      <c r="I7" s="428"/>
      <c r="J7" s="428"/>
      <c r="K7" s="428"/>
    </row>
    <row r="8" spans="1:13" s="2" customFormat="1">
      <c r="B8" s="367" t="s">
        <v>365</v>
      </c>
      <c r="C8" s="292"/>
      <c r="D8" s="292"/>
      <c r="E8" s="292"/>
      <c r="F8" s="292"/>
      <c r="G8" s="292"/>
      <c r="H8" s="292"/>
      <c r="I8" s="292"/>
      <c r="J8" s="292"/>
      <c r="K8" s="292"/>
      <c r="L8" s="292"/>
    </row>
    <row r="9" spans="1:13" s="2" customFormat="1">
      <c r="B9" s="367" t="s">
        <v>470</v>
      </c>
      <c r="C9" s="292"/>
      <c r="D9" s="292"/>
      <c r="E9" s="292"/>
      <c r="F9" s="292"/>
      <c r="G9" s="292"/>
      <c r="H9" s="292"/>
      <c r="I9" s="292"/>
      <c r="J9" s="292"/>
      <c r="K9" s="292"/>
      <c r="L9" s="292"/>
    </row>
    <row r="10" spans="1:13" s="2" customFormat="1">
      <c r="B10" s="367" t="s">
        <v>366</v>
      </c>
      <c r="C10" s="292"/>
      <c r="D10" s="292"/>
      <c r="E10" s="292"/>
      <c r="F10" s="292"/>
      <c r="G10" s="292"/>
      <c r="H10" s="292"/>
      <c r="I10" s="292"/>
      <c r="J10" s="292"/>
      <c r="K10" s="292"/>
      <c r="L10" s="292"/>
    </row>
    <row r="11" spans="1:13" s="35" customFormat="1">
      <c r="B11" s="427"/>
    </row>
    <row r="12" spans="1:13">
      <c r="B12" s="198" t="s">
        <v>533</v>
      </c>
      <c r="C12" s="265" t="s">
        <v>128</v>
      </c>
      <c r="D12" s="637">
        <v>14.369399999999992</v>
      </c>
      <c r="E12" s="637">
        <v>11.399199999999992</v>
      </c>
      <c r="F12" s="637">
        <v>30.141790000000004</v>
      </c>
      <c r="G12" s="637">
        <v>18.165520000000008</v>
      </c>
      <c r="H12" s="638"/>
      <c r="I12" s="638"/>
      <c r="J12" s="638"/>
      <c r="K12" s="639"/>
    </row>
    <row r="13" spans="1:13">
      <c r="B13" s="14"/>
      <c r="C13" s="14"/>
      <c r="D13" s="737"/>
      <c r="E13" s="737"/>
      <c r="F13" s="737"/>
      <c r="G13" s="737"/>
      <c r="H13" s="737"/>
      <c r="I13" s="737"/>
      <c r="J13" s="737"/>
      <c r="K13" s="737"/>
    </row>
    <row r="14" spans="1:13">
      <c r="B14" s="14" t="s">
        <v>469</v>
      </c>
      <c r="C14" s="265"/>
      <c r="D14" s="737"/>
      <c r="E14" s="737"/>
      <c r="F14" s="737"/>
      <c r="G14" s="737"/>
      <c r="H14" s="737"/>
      <c r="I14" s="737"/>
      <c r="J14" s="737"/>
      <c r="K14" s="737"/>
    </row>
    <row r="15" spans="1:13">
      <c r="B15" s="368" t="s">
        <v>491</v>
      </c>
      <c r="C15" s="265" t="s">
        <v>128</v>
      </c>
      <c r="D15" s="593"/>
      <c r="E15" s="594"/>
      <c r="F15" s="594"/>
      <c r="G15" s="594"/>
      <c r="H15" s="594"/>
      <c r="I15" s="594"/>
      <c r="J15" s="594"/>
      <c r="K15" s="604"/>
    </row>
    <row r="16" spans="1:13">
      <c r="B16" s="429" t="s">
        <v>629</v>
      </c>
      <c r="C16" s="265" t="s">
        <v>128</v>
      </c>
      <c r="D16" s="637">
        <v>1.0901086346622078</v>
      </c>
      <c r="E16" s="637">
        <v>1.0385060359552349</v>
      </c>
      <c r="F16" s="637">
        <v>0.84656829932026456</v>
      </c>
      <c r="G16" s="637">
        <v>0.84940058794815265</v>
      </c>
      <c r="H16" s="594"/>
      <c r="I16" s="594"/>
      <c r="J16" s="594"/>
      <c r="K16" s="604"/>
    </row>
    <row r="17" spans="2:12">
      <c r="B17" s="429" t="s">
        <v>630</v>
      </c>
      <c r="C17" s="265" t="s">
        <v>128</v>
      </c>
      <c r="D17" s="637">
        <v>-0.35113880002194037</v>
      </c>
      <c r="E17" s="637">
        <v>-0.55957060746967591</v>
      </c>
      <c r="F17" s="637">
        <v>-0.29099211962829724</v>
      </c>
      <c r="G17" s="637">
        <v>-6.8830073189457677E-2</v>
      </c>
      <c r="H17" s="594"/>
      <c r="I17" s="594"/>
      <c r="J17" s="594"/>
      <c r="K17" s="604"/>
    </row>
    <row r="18" spans="2:12">
      <c r="B18" s="429" t="s">
        <v>142</v>
      </c>
      <c r="C18" s="265" t="s">
        <v>128</v>
      </c>
      <c r="D18" s="637">
        <v>0.24827717116580683</v>
      </c>
      <c r="E18" s="637">
        <v>0.23281211217444264</v>
      </c>
      <c r="F18" s="637">
        <v>8.2514469966497625E-2</v>
      </c>
      <c r="G18" s="637">
        <v>4.6331505018872822E-2</v>
      </c>
      <c r="H18" s="594"/>
      <c r="I18" s="594"/>
      <c r="J18" s="594"/>
      <c r="K18" s="604"/>
    </row>
    <row r="19" spans="2:12">
      <c r="B19" s="267" t="s">
        <v>367</v>
      </c>
      <c r="C19" s="265" t="s">
        <v>128</v>
      </c>
      <c r="D19" s="738">
        <f>SUM(D15:D18)</f>
        <v>0.98724700580607416</v>
      </c>
      <c r="E19" s="739">
        <f t="shared" ref="E19:K19" si="1">SUM(E15:E18)</f>
        <v>0.71174754066000168</v>
      </c>
      <c r="F19" s="739">
        <f t="shared" si="1"/>
        <v>0.63809064965846496</v>
      </c>
      <c r="G19" s="739">
        <f t="shared" si="1"/>
        <v>0.82690201977756783</v>
      </c>
      <c r="H19" s="739">
        <f t="shared" si="1"/>
        <v>0</v>
      </c>
      <c r="I19" s="739">
        <f t="shared" si="1"/>
        <v>0</v>
      </c>
      <c r="J19" s="739">
        <f t="shared" si="1"/>
        <v>0</v>
      </c>
      <c r="K19" s="740">
        <f t="shared" si="1"/>
        <v>0</v>
      </c>
    </row>
    <row r="20" spans="2:12" s="31" customFormat="1">
      <c r="B20" s="368"/>
      <c r="C20" s="368"/>
      <c r="D20" s="741"/>
      <c r="E20" s="741"/>
      <c r="F20" s="741"/>
      <c r="G20" s="741"/>
      <c r="H20" s="741"/>
      <c r="I20" s="741"/>
      <c r="J20" s="741"/>
      <c r="K20" s="741"/>
      <c r="L20" s="368"/>
    </row>
    <row r="21" spans="2:12">
      <c r="B21" s="14" t="s">
        <v>333</v>
      </c>
      <c r="C21" s="265"/>
      <c r="D21" s="742"/>
      <c r="E21" s="742"/>
      <c r="F21" s="742"/>
      <c r="G21" s="742"/>
      <c r="H21" s="742"/>
      <c r="I21" s="742"/>
      <c r="J21" s="742"/>
      <c r="K21" s="742"/>
      <c r="L21" s="265"/>
    </row>
    <row r="22" spans="2:12">
      <c r="B22" s="368" t="s">
        <v>492</v>
      </c>
      <c r="C22" s="265" t="s">
        <v>128</v>
      </c>
      <c r="D22" s="855">
        <f>('R5 - Output Incentives'!D102)*INDEX(Data!$G$14:$G$30,MATCH('R10 - Tax'!D$6,Data!$C$14:$C$30,0),1)</f>
        <v>1.459196167023</v>
      </c>
      <c r="E22" s="856">
        <f>('R5 - Output Incentives'!E102)*INDEX(Data!$G$14:$G$30,MATCH('R10 - Tax'!E$6,Data!$C$14:$C$30,0),1)</f>
        <v>1.5955874913953982</v>
      </c>
      <c r="F22" s="856">
        <f>('R5 - Output Incentives'!F102)*INDEX(Data!$G$14:$G$30,MATCH('R10 - Tax'!F$6,Data!$C$14:$C$30,0),1)</f>
        <v>2.1007627333178029</v>
      </c>
      <c r="G22" s="856">
        <f>('R5 - Output Incentives'!G102)*INDEX(Data!$G$14:$G$30,MATCH('R10 - Tax'!G$6,Data!$C$14:$C$30,0),1)</f>
        <v>1.7800761763358763</v>
      </c>
      <c r="H22" s="858">
        <f>('R5 - Output Incentives'!H102)*INDEX(Data!$G$14:$G$30,MATCH('R10 - Tax'!H$6,Data!$C$14:$C$30,0),1)</f>
        <v>0.98831240414770793</v>
      </c>
      <c r="I22" s="858">
        <f>('R5 - Output Incentives'!I102)*INDEX(Data!$G$14:$G$30,MATCH('R10 - Tax'!I$6,Data!$C$14:$C$30,0),1)</f>
        <v>1.9312855358565726</v>
      </c>
      <c r="J22" s="858">
        <f>('R5 - Output Incentives'!J102)*INDEX(Data!$G$14:$G$30,MATCH('R10 - Tax'!J$6,Data!$C$14:$C$30,0),1)</f>
        <v>2.5424170188048265</v>
      </c>
      <c r="K22" s="859">
        <f>('R5 - Output Incentives'!K102)*INDEX(Data!$G$14:$G$30,MATCH('R10 - Tax'!K$6,Data!$C$14:$C$30,0),1)</f>
        <v>1.7205453510641939</v>
      </c>
    </row>
    <row r="23" spans="2:12">
      <c r="B23" s="368" t="s">
        <v>493</v>
      </c>
      <c r="C23" s="265" t="s">
        <v>128</v>
      </c>
      <c r="D23" s="597">
        <f>('R4 - Totex'!D77-'R4 - Totex'!D79)*D40</f>
        <v>1.1401098647619827</v>
      </c>
      <c r="E23" s="599">
        <f>('R4 - Totex'!E77-'R4 - Totex'!E79)*E40</f>
        <v>1.1648269564822449</v>
      </c>
      <c r="F23" s="599">
        <f>('R4 - Totex'!F77-'R4 - Totex'!F79)*F40</f>
        <v>1.123276226405425</v>
      </c>
      <c r="G23" s="599">
        <f>('R4 - Totex'!G77-'R4 - Totex'!G79)*G40</f>
        <v>1.179387257949533</v>
      </c>
      <c r="H23" s="860">
        <f>('R4 - Totex'!H77-'R4 - Totex'!H79)*H40</f>
        <v>1.1886292968886352</v>
      </c>
      <c r="I23" s="860">
        <f>('R4 - Totex'!I77-'R4 - Totex'!I79)*I40</f>
        <v>1.2227442782048059</v>
      </c>
      <c r="J23" s="860">
        <f>('R4 - Totex'!J77-'R4 - Totex'!J79)*J40</f>
        <v>1.2476051231763157</v>
      </c>
      <c r="K23" s="861">
        <f>('R4 - Totex'!K77-'R4 - Totex'!K79)*K40</f>
        <v>1.3392794060705209</v>
      </c>
    </row>
    <row r="24" spans="2:12">
      <c r="B24" s="368" t="s">
        <v>494</v>
      </c>
      <c r="C24" s="265" t="s">
        <v>128</v>
      </c>
      <c r="D24" s="595">
        <v>-0.58316466921426247</v>
      </c>
      <c r="E24" s="595">
        <v>6.7675650604549382</v>
      </c>
      <c r="F24" s="595">
        <v>2.2451797052707918</v>
      </c>
      <c r="G24" s="595">
        <v>8.8472352399382448E-2</v>
      </c>
      <c r="H24" s="596"/>
      <c r="I24" s="596"/>
      <c r="J24" s="596"/>
      <c r="K24" s="605"/>
    </row>
    <row r="25" spans="2:12">
      <c r="B25" s="368" t="s">
        <v>495</v>
      </c>
      <c r="C25" s="265" t="s">
        <v>128</v>
      </c>
      <c r="D25" s="595"/>
      <c r="E25" s="596"/>
      <c r="F25" s="596"/>
      <c r="G25" s="596"/>
      <c r="H25" s="596"/>
      <c r="I25" s="596"/>
      <c r="J25" s="596"/>
      <c r="K25" s="605"/>
    </row>
    <row r="26" spans="2:12">
      <c r="B26" s="368" t="s">
        <v>496</v>
      </c>
      <c r="C26" s="265" t="s">
        <v>128</v>
      </c>
      <c r="D26" s="595"/>
      <c r="E26" s="596"/>
      <c r="F26" s="596"/>
      <c r="G26" s="596"/>
      <c r="H26" s="596"/>
      <c r="I26" s="596"/>
      <c r="J26" s="596"/>
      <c r="K26" s="605"/>
    </row>
    <row r="27" spans="2:12">
      <c r="B27" s="368" t="s">
        <v>497</v>
      </c>
      <c r="C27" s="265" t="s">
        <v>128</v>
      </c>
      <c r="D27" s="595"/>
      <c r="E27" s="596"/>
      <c r="F27" s="596"/>
      <c r="G27" s="596"/>
      <c r="H27" s="596"/>
      <c r="I27" s="596"/>
      <c r="J27" s="596"/>
      <c r="K27" s="605"/>
    </row>
    <row r="28" spans="2:12">
      <c r="B28" s="368" t="s">
        <v>574</v>
      </c>
      <c r="C28" s="265" t="s">
        <v>128</v>
      </c>
      <c r="D28" s="595">
        <v>0.41612170057041359</v>
      </c>
      <c r="E28" s="595">
        <v>0.42987821439257556</v>
      </c>
      <c r="F28" s="595">
        <v>-0.99115583678767916</v>
      </c>
      <c r="G28" s="595">
        <v>-0.37030790636266153</v>
      </c>
      <c r="H28" s="596"/>
      <c r="I28" s="596"/>
      <c r="J28" s="596"/>
      <c r="K28" s="605"/>
    </row>
    <row r="29" spans="2:12">
      <c r="B29" s="429" t="s">
        <v>624</v>
      </c>
      <c r="C29" s="265" t="s">
        <v>128</v>
      </c>
      <c r="D29" s="595">
        <v>1.4184140849061724</v>
      </c>
      <c r="E29" s="595">
        <v>0.2648970868648704</v>
      </c>
      <c r="F29" s="595">
        <v>-1.5094098896399155</v>
      </c>
      <c r="G29" s="595">
        <v>-0.1826046686513636</v>
      </c>
      <c r="H29" s="596"/>
      <c r="I29" s="596"/>
      <c r="J29" s="596"/>
      <c r="K29" s="605"/>
    </row>
    <row r="30" spans="2:12">
      <c r="B30" s="429" t="s">
        <v>389</v>
      </c>
      <c r="C30" s="265" t="s">
        <v>128</v>
      </c>
      <c r="D30" s="595">
        <v>0.19487455592322478</v>
      </c>
      <c r="E30" s="595">
        <v>0.30740433087591157</v>
      </c>
      <c r="F30" s="595">
        <v>-3.1054663467904031E-2</v>
      </c>
      <c r="G30" s="595">
        <v>0.67728531400695879</v>
      </c>
      <c r="H30" s="596"/>
      <c r="I30" s="596"/>
      <c r="J30" s="596"/>
      <c r="K30" s="605"/>
    </row>
    <row r="31" spans="2:12">
      <c r="B31" s="429" t="s">
        <v>585</v>
      </c>
      <c r="C31" s="265" t="s">
        <v>128</v>
      </c>
      <c r="D31" s="595">
        <v>-1.8809201851900483</v>
      </c>
      <c r="E31" s="595">
        <v>-0.38201713895261386</v>
      </c>
      <c r="F31" s="595">
        <v>0</v>
      </c>
      <c r="G31" s="595">
        <v>0</v>
      </c>
      <c r="H31" s="596"/>
      <c r="I31" s="596"/>
      <c r="J31" s="596"/>
      <c r="K31" s="605"/>
    </row>
    <row r="32" spans="2:12">
      <c r="B32" s="429" t="s">
        <v>625</v>
      </c>
      <c r="C32" s="265" t="s">
        <v>128</v>
      </c>
      <c r="D32" s="595">
        <v>0.82521640899108351</v>
      </c>
      <c r="E32" s="595">
        <v>0.86878635946403149</v>
      </c>
      <c r="F32" s="595">
        <v>0.8920797072718315</v>
      </c>
      <c r="G32" s="595">
        <v>0.96686924938480245</v>
      </c>
      <c r="H32" s="596"/>
      <c r="I32" s="596"/>
      <c r="J32" s="596"/>
      <c r="K32" s="605"/>
    </row>
    <row r="33" spans="2:18">
      <c r="B33" s="429" t="s">
        <v>626</v>
      </c>
      <c r="C33" s="265" t="s">
        <v>128</v>
      </c>
      <c r="D33" s="606">
        <v>0.11528749137871025</v>
      </c>
      <c r="E33" s="606">
        <v>-0.10946247293487719</v>
      </c>
      <c r="F33" s="606">
        <v>-0.1093112806734084</v>
      </c>
      <c r="G33" s="606">
        <v>-0.86493472718025055</v>
      </c>
      <c r="H33" s="607"/>
      <c r="I33" s="607"/>
      <c r="J33" s="607"/>
      <c r="K33" s="608"/>
    </row>
    <row r="34" spans="2:18">
      <c r="B34" s="429" t="s">
        <v>627</v>
      </c>
      <c r="C34" s="265" t="s">
        <v>128</v>
      </c>
      <c r="D34" s="606">
        <v>0</v>
      </c>
      <c r="E34" s="606">
        <v>-2.2313522533725045</v>
      </c>
      <c r="F34" s="606">
        <v>3.3553706302923119</v>
      </c>
      <c r="G34" s="606">
        <v>-0.42558126254799789</v>
      </c>
      <c r="H34" s="607"/>
      <c r="I34" s="607"/>
      <c r="J34" s="607"/>
      <c r="K34" s="608"/>
    </row>
    <row r="35" spans="2:18">
      <c r="B35" s="14" t="s">
        <v>177</v>
      </c>
      <c r="C35" s="265" t="s">
        <v>128</v>
      </c>
      <c r="D35" s="743">
        <f t="shared" ref="D35:K35" si="2">SUM(D22:D34)</f>
        <v>3.1051354191502765</v>
      </c>
      <c r="E35" s="744">
        <f t="shared" si="2"/>
        <v>8.6761136346699743</v>
      </c>
      <c r="F35" s="744">
        <f t="shared" si="2"/>
        <v>7.0757373319892576</v>
      </c>
      <c r="G35" s="744">
        <f t="shared" si="2"/>
        <v>2.8486617853342797</v>
      </c>
      <c r="H35" s="744">
        <f t="shared" si="2"/>
        <v>2.176941701036343</v>
      </c>
      <c r="I35" s="744">
        <f t="shared" si="2"/>
        <v>3.1540298140613787</v>
      </c>
      <c r="J35" s="744">
        <f t="shared" si="2"/>
        <v>3.790022141981142</v>
      </c>
      <c r="K35" s="745">
        <f t="shared" si="2"/>
        <v>3.0598247571347148</v>
      </c>
    </row>
    <row r="37" spans="2:18" ht="12.75" customHeight="1">
      <c r="B37" s="820" t="s">
        <v>504</v>
      </c>
      <c r="C37" s="265" t="s">
        <v>128</v>
      </c>
      <c r="D37" s="637"/>
      <c r="E37" s="637"/>
      <c r="F37" s="638"/>
      <c r="G37" s="638"/>
      <c r="H37" s="959">
        <v>18.58424989829652</v>
      </c>
      <c r="I37" s="638">
        <v>19.457136530655312</v>
      </c>
      <c r="J37" s="959">
        <v>21.876351234838218</v>
      </c>
      <c r="K37" s="638">
        <v>19.654515606371248</v>
      </c>
    </row>
    <row r="38" spans="2:18" ht="12.75" customHeight="1">
      <c r="B38" s="820" t="s">
        <v>473</v>
      </c>
      <c r="C38" s="265" t="s">
        <v>128</v>
      </c>
      <c r="D38" s="743">
        <f t="shared" ref="D38:K38" si="3">D12+D37-D19-D35</f>
        <v>10.277017575043642</v>
      </c>
      <c r="E38" s="744">
        <f>E12+G37-E19-E35</f>
        <v>2.0113388246700161</v>
      </c>
      <c r="F38" s="744">
        <f>F12+F37-F19-F35</f>
        <v>22.427962018352282</v>
      </c>
      <c r="G38" s="744">
        <f>G12+G37-G19-G35</f>
        <v>14.489956194888162</v>
      </c>
      <c r="H38" s="744">
        <f t="shared" si="3"/>
        <v>16.407308197260178</v>
      </c>
      <c r="I38" s="744">
        <f t="shared" si="3"/>
        <v>16.303106716593934</v>
      </c>
      <c r="J38" s="744">
        <f t="shared" si="3"/>
        <v>18.086329092857078</v>
      </c>
      <c r="K38" s="745">
        <f t="shared" si="3"/>
        <v>16.594690849236535</v>
      </c>
    </row>
    <row r="39" spans="2:18" ht="12.75" customHeight="1">
      <c r="B39" s="480"/>
      <c r="C39" s="265"/>
      <c r="D39" s="265"/>
      <c r="E39" s="265"/>
      <c r="F39" s="265"/>
      <c r="G39" s="265"/>
      <c r="H39" s="265"/>
      <c r="I39" s="265"/>
      <c r="J39" s="265"/>
      <c r="K39" s="265"/>
      <c r="N39" s="748"/>
      <c r="O39" s="748"/>
      <c r="P39" s="748"/>
      <c r="Q39" s="748"/>
      <c r="R39" s="748"/>
    </row>
    <row r="40" spans="2:18">
      <c r="B40" s="37" t="s">
        <v>481</v>
      </c>
      <c r="C40" s="266" t="s">
        <v>127</v>
      </c>
      <c r="D40" s="111">
        <f>Data!C$34</f>
        <v>1.0603167467048125</v>
      </c>
      <c r="E40" s="111">
        <f>Data!D$34</f>
        <v>1.0830366813119445</v>
      </c>
      <c r="F40" s="111">
        <f>Data!E$34</f>
        <v>1.1235639113109226</v>
      </c>
      <c r="G40" s="111">
        <f>Data!F$34</f>
        <v>1.1578951670583426</v>
      </c>
      <c r="H40" s="111">
        <f>Data!G$34</f>
        <v>1.1878696229692449</v>
      </c>
      <c r="I40" s="111">
        <f>Data!H$34</f>
        <v>1.2080634065597218</v>
      </c>
      <c r="J40" s="111">
        <f>Data!I$34</f>
        <v>1.2337347539491161</v>
      </c>
      <c r="K40" s="111">
        <f>Data!J$34</f>
        <v>1.2655034238633056</v>
      </c>
      <c r="L40" s="265"/>
    </row>
    <row r="41" spans="2:18">
      <c r="B41" s="198"/>
      <c r="C41" s="265"/>
      <c r="D41" s="265"/>
      <c r="E41" s="265"/>
      <c r="F41" s="265"/>
      <c r="G41" s="265"/>
      <c r="H41" s="265"/>
      <c r="I41" s="265"/>
      <c r="J41" s="265"/>
      <c r="K41" s="265"/>
    </row>
    <row r="42" spans="2:18">
      <c r="B42" s="542" t="s">
        <v>474</v>
      </c>
      <c r="C42" s="395" t="str">
        <f>'RFPR cover'!$C$14</f>
        <v>£m 12/13</v>
      </c>
      <c r="D42" s="785">
        <f t="shared" ref="D42:K42" si="4">D38/D40</f>
        <v>9.6924033379477681</v>
      </c>
      <c r="E42" s="786">
        <f t="shared" si="4"/>
        <v>1.8571289960683195</v>
      </c>
      <c r="F42" s="786">
        <f t="shared" si="4"/>
        <v>19.96144749094368</v>
      </c>
      <c r="G42" s="786">
        <f t="shared" si="4"/>
        <v>12.514048427803878</v>
      </c>
      <c r="H42" s="786">
        <f t="shared" si="4"/>
        <v>13.812381325357775</v>
      </c>
      <c r="I42" s="786">
        <f t="shared" si="4"/>
        <v>13.495240918704191</v>
      </c>
      <c r="J42" s="786">
        <f t="shared" si="4"/>
        <v>14.659819734317889</v>
      </c>
      <c r="K42" s="787">
        <f t="shared" si="4"/>
        <v>13.113114145970911</v>
      </c>
    </row>
    <row r="43" spans="2:18">
      <c r="B43" s="820"/>
      <c r="C43" s="820"/>
      <c r="D43" s="820"/>
      <c r="E43" s="820"/>
      <c r="F43" s="820"/>
      <c r="G43" s="820"/>
      <c r="H43" s="820"/>
      <c r="I43" s="820"/>
      <c r="J43" s="820"/>
      <c r="K43" s="820"/>
    </row>
    <row r="44" spans="2:18">
      <c r="B44" s="828" t="s">
        <v>454</v>
      </c>
      <c r="C44" s="209"/>
      <c r="D44" s="209"/>
      <c r="E44" s="209"/>
      <c r="F44" s="209"/>
      <c r="G44" s="209"/>
      <c r="H44" s="209"/>
      <c r="I44" s="209"/>
      <c r="J44" s="209"/>
      <c r="K44" s="209"/>
    </row>
    <row r="45" spans="2:18">
      <c r="B45" s="367" t="s">
        <v>442</v>
      </c>
      <c r="C45" s="430"/>
      <c r="D45" s="430"/>
      <c r="E45" s="430"/>
      <c r="F45" s="430"/>
      <c r="G45" s="430"/>
      <c r="H45" s="430"/>
      <c r="I45" s="430"/>
      <c r="J45" s="430"/>
      <c r="K45" s="430"/>
      <c r="L45" s="430"/>
      <c r="M45" s="430"/>
    </row>
    <row r="47" spans="2:18" ht="12.75" customHeight="1">
      <c r="B47" s="212" t="s">
        <v>115</v>
      </c>
      <c r="C47" s="154" t="s">
        <v>7</v>
      </c>
      <c r="D47" s="890">
        <f>'RFPR cover'!$C$12</f>
        <v>0.65</v>
      </c>
      <c r="E47" s="891">
        <f>'RFPR cover'!$C$12</f>
        <v>0.65</v>
      </c>
      <c r="F47" s="891">
        <f>'RFPR cover'!$C$12</f>
        <v>0.65</v>
      </c>
      <c r="G47" s="891">
        <f>'RFPR cover'!$C$12</f>
        <v>0.65</v>
      </c>
      <c r="H47" s="891">
        <f>'RFPR cover'!$C$12</f>
        <v>0.65</v>
      </c>
      <c r="I47" s="891">
        <f>'RFPR cover'!$C$12</f>
        <v>0.65</v>
      </c>
      <c r="J47" s="891">
        <f>'RFPR cover'!$C$12</f>
        <v>0.65</v>
      </c>
      <c r="K47" s="892">
        <f>'RFPR cover'!$C$12</f>
        <v>0.65</v>
      </c>
    </row>
    <row r="48" spans="2:18" ht="12.75" customHeight="1">
      <c r="B48" s="212" t="s">
        <v>404</v>
      </c>
      <c r="C48" s="154" t="s">
        <v>7</v>
      </c>
      <c r="D48" s="890">
        <f>'R8 - Net Debt'!D57</f>
        <v>0.56417818057479296</v>
      </c>
      <c r="E48" s="891">
        <f>'R8 - Net Debt'!E57</f>
        <v>0.59213988226033953</v>
      </c>
      <c r="F48" s="891">
        <f>'R8 - Net Debt'!F57</f>
        <v>0.59258626137640169</v>
      </c>
      <c r="G48" s="891">
        <f>'R8 - Net Debt'!G57</f>
        <v>0.59541798047962713</v>
      </c>
      <c r="H48" s="891">
        <f>'R8 - Net Debt'!H57</f>
        <v>0.60699394606448154</v>
      </c>
      <c r="I48" s="891">
        <f>'R8 - Net Debt'!I57</f>
        <v>0.61061533733346751</v>
      </c>
      <c r="J48" s="891">
        <f>'R8 - Net Debt'!J57</f>
        <v>0.57502544545507128</v>
      </c>
      <c r="K48" s="892">
        <f>'R8 - Net Debt'!K57</f>
        <v>0.571336554119247</v>
      </c>
    </row>
    <row r="49" spans="2:14" ht="12.75" customHeight="1">
      <c r="B49" s="212"/>
      <c r="C49" s="154"/>
      <c r="D49" s="154"/>
      <c r="E49" s="154"/>
      <c r="F49" s="154"/>
      <c r="G49" s="154"/>
      <c r="H49" s="154"/>
      <c r="I49" s="154"/>
      <c r="J49" s="154"/>
      <c r="K49" s="154"/>
      <c r="L49" s="154"/>
    </row>
    <row r="50" spans="2:14" ht="12.75" customHeight="1">
      <c r="B50" s="820" t="s">
        <v>474</v>
      </c>
      <c r="C50" s="265" t="s">
        <v>128</v>
      </c>
      <c r="D50" s="785">
        <f>D38</f>
        <v>10.277017575043642</v>
      </c>
      <c r="E50" s="785">
        <f t="shared" ref="E50:K50" si="5">E38</f>
        <v>2.0113388246700161</v>
      </c>
      <c r="F50" s="785">
        <f t="shared" si="5"/>
        <v>22.427962018352282</v>
      </c>
      <c r="G50" s="785">
        <f t="shared" si="5"/>
        <v>14.489956194888162</v>
      </c>
      <c r="H50" s="785">
        <f t="shared" si="5"/>
        <v>16.407308197260178</v>
      </c>
      <c r="I50" s="785">
        <f t="shared" si="5"/>
        <v>16.303106716593934</v>
      </c>
      <c r="J50" s="785">
        <f t="shared" si="5"/>
        <v>18.086329092857078</v>
      </c>
      <c r="K50" s="785">
        <f t="shared" si="5"/>
        <v>16.594690849236535</v>
      </c>
    </row>
    <row r="51" spans="2:14">
      <c r="B51" s="212" t="s">
        <v>455</v>
      </c>
      <c r="C51" s="265" t="s">
        <v>128</v>
      </c>
      <c r="D51" s="785">
        <f>D86-D88</f>
        <v>-0.7367597539736308</v>
      </c>
      <c r="E51" s="785">
        <f t="shared" ref="E51:K51" si="6">E86-E88</f>
        <v>-0.40439051342896004</v>
      </c>
      <c r="F51" s="785">
        <f t="shared" si="6"/>
        <v>-0.17805506212025568</v>
      </c>
      <c r="G51" s="785">
        <f t="shared" si="6"/>
        <v>-0.19530227019140622</v>
      </c>
      <c r="H51" s="785">
        <f t="shared" si="6"/>
        <v>-0.22931472510745662</v>
      </c>
      <c r="I51" s="785">
        <f t="shared" si="6"/>
        <v>-0.31044625939921744</v>
      </c>
      <c r="J51" s="785">
        <f t="shared" si="6"/>
        <v>-0.54397114561901683</v>
      </c>
      <c r="K51" s="785">
        <f t="shared" si="6"/>
        <v>-0.4766369359252387</v>
      </c>
      <c r="L51" s="265"/>
    </row>
    <row r="52" spans="2:14" s="31" customFormat="1">
      <c r="B52" s="829" t="s">
        <v>412</v>
      </c>
      <c r="C52" s="265" t="s">
        <v>128</v>
      </c>
      <c r="D52" s="743">
        <f>SUM(D50:D51)</f>
        <v>9.5402578210700106</v>
      </c>
      <c r="E52" s="744">
        <f t="shared" ref="E52:K52" si="7">SUM(E50:E51)</f>
        <v>1.6069483112410561</v>
      </c>
      <c r="F52" s="744">
        <f t="shared" si="7"/>
        <v>22.249906956232028</v>
      </c>
      <c r="G52" s="744">
        <f t="shared" si="7"/>
        <v>14.294653924696755</v>
      </c>
      <c r="H52" s="744">
        <f t="shared" si="7"/>
        <v>16.177993472152721</v>
      </c>
      <c r="I52" s="744">
        <f t="shared" si="7"/>
        <v>15.992660457194717</v>
      </c>
      <c r="J52" s="744">
        <f t="shared" si="7"/>
        <v>17.54235794723806</v>
      </c>
      <c r="K52" s="745">
        <f t="shared" si="7"/>
        <v>16.118053913311297</v>
      </c>
      <c r="L52" s="805"/>
    </row>
    <row r="54" spans="2:14">
      <c r="B54" s="829" t="s">
        <v>412</v>
      </c>
      <c r="C54" s="395" t="str">
        <f>'RFPR cover'!$C$14</f>
        <v>£m 12/13</v>
      </c>
      <c r="D54" s="743">
        <f>D52/D40</f>
        <v>8.9975545993389616</v>
      </c>
      <c r="E54" s="744">
        <f t="shared" ref="E54:K54" si="8">E52/E40</f>
        <v>1.4837431999943598</v>
      </c>
      <c r="F54" s="744">
        <f t="shared" si="8"/>
        <v>19.802974029551965</v>
      </c>
      <c r="G54" s="744">
        <f t="shared" si="8"/>
        <v>12.345378348035279</v>
      </c>
      <c r="H54" s="744">
        <f t="shared" si="8"/>
        <v>13.619334276529088</v>
      </c>
      <c r="I54" s="744">
        <f t="shared" si="8"/>
        <v>13.238262470624802</v>
      </c>
      <c r="J54" s="744">
        <f t="shared" si="8"/>
        <v>14.218905555741175</v>
      </c>
      <c r="K54" s="745">
        <f t="shared" si="8"/>
        <v>12.736475942598714</v>
      </c>
    </row>
    <row r="55" spans="2:14">
      <c r="B55" s="829"/>
      <c r="C55" s="395"/>
      <c r="D55" s="395"/>
      <c r="E55" s="395"/>
      <c r="F55" s="395"/>
      <c r="G55" s="395"/>
      <c r="H55" s="395"/>
      <c r="I55" s="395"/>
      <c r="J55" s="395"/>
      <c r="K55" s="395"/>
    </row>
    <row r="57" spans="2:14">
      <c r="B57" s="788" t="s">
        <v>378</v>
      </c>
      <c r="C57" s="789"/>
      <c r="D57" s="789"/>
      <c r="E57" s="789"/>
      <c r="F57" s="789"/>
      <c r="G57" s="789"/>
      <c r="H57" s="789"/>
      <c r="I57" s="789"/>
      <c r="J57" s="789"/>
      <c r="K57" s="789"/>
      <c r="L57" s="789"/>
      <c r="M57" s="488"/>
    </row>
    <row r="58" spans="2:14" s="31" customFormat="1">
      <c r="B58" s="489"/>
      <c r="C58" s="488"/>
      <c r="D58" s="488"/>
      <c r="E58" s="488"/>
      <c r="F58" s="488"/>
      <c r="G58" s="488"/>
      <c r="H58" s="488"/>
      <c r="I58" s="488"/>
      <c r="J58" s="488"/>
      <c r="K58" s="488"/>
      <c r="L58" s="488"/>
      <c r="M58" s="488"/>
    </row>
    <row r="59" spans="2:14">
      <c r="B59" s="366" t="s">
        <v>475</v>
      </c>
      <c r="C59" s="292"/>
      <c r="D59" s="292"/>
      <c r="E59" s="292"/>
      <c r="F59" s="292"/>
      <c r="G59" s="292"/>
      <c r="H59" s="292"/>
      <c r="I59" s="292"/>
      <c r="J59" s="292"/>
      <c r="K59" s="292"/>
      <c r="L59" s="292"/>
      <c r="M59" s="199"/>
      <c r="N59" s="199"/>
    </row>
    <row r="60" spans="2:14" s="31" customFormat="1">
      <c r="B60" s="371"/>
      <c r="C60" s="35"/>
      <c r="D60" s="35"/>
      <c r="E60" s="35"/>
      <c r="F60" s="35"/>
      <c r="G60" s="35"/>
      <c r="H60" s="35"/>
      <c r="I60" s="35"/>
      <c r="J60" s="35"/>
      <c r="K60" s="35"/>
      <c r="L60" s="35"/>
      <c r="M60" s="37"/>
      <c r="N60" s="37"/>
    </row>
    <row r="61" spans="2:14">
      <c r="B61" s="199" t="s">
        <v>377</v>
      </c>
      <c r="C61" s="209" t="str">
        <f>'RFPR cover'!$C$14</f>
        <v>£m 12/13</v>
      </c>
      <c r="D61" s="581">
        <v>10.284235088259434</v>
      </c>
      <c r="E61" s="581">
        <v>7.8457318116284576</v>
      </c>
      <c r="F61" s="581">
        <v>14.484491724987555</v>
      </c>
      <c r="G61" s="581">
        <v>10.951824348165925</v>
      </c>
      <c r="H61" s="581">
        <v>9.3915073886475646</v>
      </c>
      <c r="I61" s="581">
        <v>8.8107047853340301</v>
      </c>
      <c r="J61" s="581">
        <v>8.9452252119580642</v>
      </c>
      <c r="K61" s="581">
        <v>8.3598683465857047</v>
      </c>
    </row>
    <row r="62" spans="2:14">
      <c r="B62" s="199" t="s">
        <v>380</v>
      </c>
      <c r="C62" s="209" t="str">
        <f>'RFPR cover'!$C$14</f>
        <v>£m 12/13</v>
      </c>
      <c r="D62" s="589"/>
      <c r="E62" s="590"/>
      <c r="F62" s="590"/>
      <c r="G62" s="590"/>
      <c r="H62" s="590"/>
      <c r="I62" s="590"/>
      <c r="J62" s="590"/>
      <c r="K62" s="683"/>
    </row>
    <row r="63" spans="2:14">
      <c r="B63" s="199" t="s">
        <v>381</v>
      </c>
      <c r="C63" s="209" t="str">
        <f>'RFPR cover'!$C$14</f>
        <v>£m 12/13</v>
      </c>
      <c r="D63" s="645">
        <f t="shared" ref="D63:K63" si="9">SUM(D61:D62)</f>
        <v>10.284235088259434</v>
      </c>
      <c r="E63" s="646">
        <f t="shared" si="9"/>
        <v>7.8457318116284576</v>
      </c>
      <c r="F63" s="646">
        <f t="shared" si="9"/>
        <v>14.484491724987555</v>
      </c>
      <c r="G63" s="646">
        <f t="shared" si="9"/>
        <v>10.951824348165925</v>
      </c>
      <c r="H63" s="646">
        <f t="shared" si="9"/>
        <v>9.3915073886475646</v>
      </c>
      <c r="I63" s="646">
        <f t="shared" si="9"/>
        <v>8.8107047853340301</v>
      </c>
      <c r="J63" s="646">
        <f t="shared" si="9"/>
        <v>8.9452252119580642</v>
      </c>
      <c r="K63" s="647">
        <f t="shared" si="9"/>
        <v>8.3598683465857047</v>
      </c>
    </row>
    <row r="64" spans="2:14">
      <c r="B64" s="199"/>
      <c r="C64" s="209"/>
      <c r="D64" s="209"/>
      <c r="E64" s="209"/>
      <c r="F64" s="209"/>
      <c r="G64" s="209"/>
      <c r="H64" s="209"/>
      <c r="I64" s="209"/>
      <c r="J64" s="209"/>
      <c r="K64" s="209"/>
      <c r="L64" s="209"/>
    </row>
    <row r="65" spans="2:13">
      <c r="B65" s="511" t="s">
        <v>476</v>
      </c>
      <c r="C65" s="292"/>
      <c r="D65" s="292"/>
      <c r="E65" s="292"/>
      <c r="F65" s="292"/>
      <c r="G65" s="292"/>
      <c r="H65" s="292"/>
      <c r="I65" s="292"/>
      <c r="J65" s="292"/>
      <c r="K65" s="292"/>
      <c r="L65" s="292"/>
    </row>
    <row r="66" spans="2:13" s="31" customFormat="1">
      <c r="B66" s="512"/>
      <c r="C66" s="35"/>
      <c r="D66" s="35"/>
      <c r="E66" s="35"/>
      <c r="F66" s="35"/>
      <c r="G66" s="35"/>
      <c r="H66" s="35"/>
      <c r="I66" s="35"/>
      <c r="J66" s="35"/>
      <c r="K66" s="35"/>
      <c r="L66" s="35"/>
    </row>
    <row r="67" spans="2:13">
      <c r="B67" s="199" t="s">
        <v>368</v>
      </c>
      <c r="C67" s="209" t="str">
        <f>'RFPR cover'!$C$14</f>
        <v>£m 12/13</v>
      </c>
      <c r="D67" s="581">
        <v>10.284235088259436</v>
      </c>
      <c r="E67" s="581">
        <v>7.6771529968093715</v>
      </c>
      <c r="F67" s="581">
        <v>14.648343409888987</v>
      </c>
      <c r="G67" s="581">
        <v>10.952058048773551</v>
      </c>
      <c r="H67" s="960">
        <v>10.114585570657418</v>
      </c>
      <c r="I67" s="960">
        <v>10.478922857819507</v>
      </c>
      <c r="J67" s="960">
        <v>9.7985678363179165</v>
      </c>
      <c r="K67" s="960">
        <v>9.2314752032757017</v>
      </c>
    </row>
    <row r="68" spans="2:13">
      <c r="B68" s="199" t="s">
        <v>383</v>
      </c>
      <c r="C68" s="209" t="str">
        <f>'RFPR cover'!$C$14</f>
        <v>£m 12/13</v>
      </c>
      <c r="D68" s="589"/>
      <c r="E68" s="590"/>
      <c r="F68" s="590"/>
      <c r="G68" s="590"/>
      <c r="H68" s="590"/>
      <c r="I68" s="590"/>
      <c r="J68" s="590"/>
      <c r="K68" s="683"/>
    </row>
    <row r="69" spans="2:13">
      <c r="B69" s="14" t="s">
        <v>384</v>
      </c>
      <c r="C69" s="209" t="str">
        <f>'RFPR cover'!$C$14</f>
        <v>£m 12/13</v>
      </c>
      <c r="D69" s="609">
        <f t="shared" ref="D69:K69" si="10">SUM(D67:D68)</f>
        <v>10.284235088259436</v>
      </c>
      <c r="E69" s="610">
        <f t="shared" si="10"/>
        <v>7.6771529968093715</v>
      </c>
      <c r="F69" s="610">
        <f t="shared" si="10"/>
        <v>14.648343409888987</v>
      </c>
      <c r="G69" s="610">
        <f t="shared" si="10"/>
        <v>10.952058048773551</v>
      </c>
      <c r="H69" s="610">
        <f t="shared" si="10"/>
        <v>10.114585570657418</v>
      </c>
      <c r="I69" s="610">
        <f t="shared" si="10"/>
        <v>10.478922857819507</v>
      </c>
      <c r="J69" s="610">
        <f t="shared" si="10"/>
        <v>9.7985678363179165</v>
      </c>
      <c r="K69" s="611">
        <f t="shared" si="10"/>
        <v>9.2314752032757017</v>
      </c>
    </row>
    <row r="70" spans="2:13" s="31" customFormat="1">
      <c r="B70" s="512"/>
      <c r="C70" s="35"/>
      <c r="D70" s="746"/>
      <c r="E70" s="746"/>
      <c r="F70" s="746"/>
      <c r="G70" s="746"/>
      <c r="H70" s="746"/>
      <c r="I70" s="746"/>
      <c r="J70" s="746"/>
      <c r="K70" s="746"/>
      <c r="L70" s="35"/>
    </row>
    <row r="71" spans="2:13" s="31" customFormat="1">
      <c r="B71" s="513" t="s">
        <v>382</v>
      </c>
      <c r="C71" s="35"/>
      <c r="D71" s="701">
        <f t="shared" ref="D71:K71" si="11">D69-D63</f>
        <v>0</v>
      </c>
      <c r="E71" s="702">
        <f t="shared" si="11"/>
        <v>-0.1685788148190861</v>
      </c>
      <c r="F71" s="702">
        <f t="shared" si="11"/>
        <v>0.16385168490143265</v>
      </c>
      <c r="G71" s="702">
        <f t="shared" si="11"/>
        <v>2.3370060762673006E-4</v>
      </c>
      <c r="H71" s="702">
        <f t="shared" si="11"/>
        <v>0.72307818200985352</v>
      </c>
      <c r="I71" s="702">
        <f t="shared" si="11"/>
        <v>1.6682180724854767</v>
      </c>
      <c r="J71" s="702">
        <f t="shared" si="11"/>
        <v>0.85334262435985231</v>
      </c>
      <c r="K71" s="703">
        <f t="shared" si="11"/>
        <v>0.87160685668999704</v>
      </c>
      <c r="L71" s="35"/>
    </row>
    <row r="72" spans="2:13">
      <c r="B72" s="199" t="s">
        <v>379</v>
      </c>
      <c r="C72" s="209" t="str">
        <f>'RFPR cover'!$C$14</f>
        <v>£m 12/13</v>
      </c>
      <c r="D72" s="585">
        <v>0</v>
      </c>
      <c r="E72" s="585">
        <v>0</v>
      </c>
      <c r="F72" s="585">
        <v>-0.89410418683356163</v>
      </c>
      <c r="G72" s="585">
        <v>-0.58639699391756717</v>
      </c>
      <c r="H72" s="585">
        <v>-0.56211858271839377</v>
      </c>
      <c r="I72" s="585">
        <v>-0.58828172367708009</v>
      </c>
      <c r="J72" s="585">
        <v>-0.55060782822135612</v>
      </c>
      <c r="K72" s="585">
        <v>-0.51584740050356126</v>
      </c>
    </row>
    <row r="73" spans="2:13">
      <c r="B73" s="199" t="s">
        <v>430</v>
      </c>
      <c r="C73" s="209" t="str">
        <f>'RFPR cover'!$C$14</f>
        <v>£m 12/13</v>
      </c>
      <c r="D73" s="585">
        <v>0</v>
      </c>
      <c r="E73" s="585">
        <v>0</v>
      </c>
      <c r="F73" s="585">
        <v>0.89410418683356163</v>
      </c>
      <c r="G73" s="585">
        <v>0.58639699391756717</v>
      </c>
      <c r="H73" s="585">
        <v>-0.96556237830853353</v>
      </c>
      <c r="I73" s="585">
        <v>-0.86874753674987559</v>
      </c>
      <c r="J73" s="585">
        <v>-0.88947003400094371</v>
      </c>
      <c r="K73" s="585">
        <v>-0.9218403601252857</v>
      </c>
    </row>
    <row r="74" spans="2:13">
      <c r="B74" s="199" t="s">
        <v>333</v>
      </c>
      <c r="C74" s="209" t="str">
        <f>'RFPR cover'!$C$14</f>
        <v>£m 12/13</v>
      </c>
      <c r="D74" s="747">
        <f>D71-D72-D73</f>
        <v>0</v>
      </c>
      <c r="E74" s="747">
        <f t="shared" ref="E74:K74" si="12">E71-E72-E73</f>
        <v>-0.1685788148190861</v>
      </c>
      <c r="F74" s="747">
        <f t="shared" si="12"/>
        <v>0.16385168490143254</v>
      </c>
      <c r="G74" s="747">
        <f t="shared" si="12"/>
        <v>2.3370060762673006E-4</v>
      </c>
      <c r="H74" s="961">
        <f t="shared" si="12"/>
        <v>2.250759143036781</v>
      </c>
      <c r="I74" s="961">
        <f t="shared" si="12"/>
        <v>3.1252473329124326</v>
      </c>
      <c r="J74" s="961">
        <f t="shared" si="12"/>
        <v>2.2934204865821521</v>
      </c>
      <c r="K74" s="961">
        <f t="shared" si="12"/>
        <v>2.309294617318844</v>
      </c>
    </row>
    <row r="75" spans="2:13">
      <c r="B75" s="199" t="s">
        <v>122</v>
      </c>
      <c r="C75" s="209" t="str">
        <f>'RFPR cover'!$C$14</f>
        <v>£m 12/13</v>
      </c>
      <c r="D75" s="514" t="str">
        <f>IF(ABS(D71-SUM(D72:D74))&lt;'RFPR cover'!$F$14,"OK","ERROR")</f>
        <v>OK</v>
      </c>
      <c r="E75" s="515" t="str">
        <f>IF(ABS(E71-SUM(E72:E74))&lt;'RFPR cover'!$F$14,"OK","ERROR")</f>
        <v>OK</v>
      </c>
      <c r="F75" s="515" t="str">
        <f>IF(ABS(F71-SUM(F72:F74))&lt;'RFPR cover'!$F$14,"OK","ERROR")</f>
        <v>OK</v>
      </c>
      <c r="G75" s="515" t="str">
        <f>IF(ABS(G71-SUM(G72:G74))&lt;'RFPR cover'!$F$14,"OK","ERROR")</f>
        <v>OK</v>
      </c>
      <c r="H75" s="515" t="str">
        <f>IF(ABS(H71-SUM(H72:H74))&lt;'RFPR cover'!$F$14,"OK","ERROR")</f>
        <v>OK</v>
      </c>
      <c r="I75" s="515" t="str">
        <f>IF(ABS(I71-SUM(I72:I74))&lt;'RFPR cover'!$F$14,"OK","ERROR")</f>
        <v>OK</v>
      </c>
      <c r="J75" s="515" t="str">
        <f>IF(ABS(J71-SUM(J72:J74))&lt;'RFPR cover'!$F$14,"OK","ERROR")</f>
        <v>OK</v>
      </c>
      <c r="K75" s="516" t="str">
        <f>IF(ABS(K71-SUM(K72:K74))&lt;'RFPR cover'!$F$14,"OK","ERROR")</f>
        <v>OK</v>
      </c>
    </row>
    <row r="76" spans="2:13">
      <c r="B76" s="199"/>
      <c r="C76" s="199"/>
      <c r="D76" s="199"/>
      <c r="E76" s="199"/>
      <c r="F76" s="199"/>
      <c r="G76" s="199"/>
      <c r="H76" s="199"/>
      <c r="I76" s="199"/>
      <c r="J76" s="199"/>
      <c r="K76" s="199"/>
      <c r="L76" s="199"/>
      <c r="M76" s="199"/>
    </row>
    <row r="78" spans="2:13">
      <c r="B78" s="833" t="s">
        <v>432</v>
      </c>
      <c r="C78" s="833"/>
      <c r="D78" s="833"/>
      <c r="E78" s="833"/>
      <c r="F78" s="833"/>
      <c r="G78" s="833"/>
      <c r="H78" s="833"/>
      <c r="I78" s="833"/>
      <c r="J78" s="833"/>
      <c r="K78" s="833"/>
      <c r="L78" s="833"/>
    </row>
    <row r="80" spans="2:13">
      <c r="B80" s="14" t="s">
        <v>433</v>
      </c>
      <c r="C80" s="210" t="str">
        <f>'RFPR cover'!$C$14</f>
        <v>£m 12/13</v>
      </c>
      <c r="D80" s="609">
        <f t="shared" ref="D80:K80" si="13">D$69-D42</f>
        <v>0.5918317503116679</v>
      </c>
      <c r="E80" s="610">
        <f t="shared" si="13"/>
        <v>5.8200240007410518</v>
      </c>
      <c r="F80" s="610">
        <f t="shared" si="13"/>
        <v>-5.3131040810546928</v>
      </c>
      <c r="G80" s="610">
        <f t="shared" si="13"/>
        <v>-1.5619903790303269</v>
      </c>
      <c r="H80" s="610">
        <f t="shared" si="13"/>
        <v>-3.6977957547003566</v>
      </c>
      <c r="I80" s="610">
        <f t="shared" si="13"/>
        <v>-3.016318060884684</v>
      </c>
      <c r="J80" s="610">
        <f t="shared" si="13"/>
        <v>-4.8612518979999724</v>
      </c>
      <c r="K80" s="611">
        <f t="shared" si="13"/>
        <v>-3.8816389426952096</v>
      </c>
    </row>
    <row r="81" spans="2:11">
      <c r="B81" s="14"/>
      <c r="C81" s="14"/>
      <c r="D81" s="14"/>
      <c r="E81" s="14"/>
      <c r="F81" s="14"/>
      <c r="G81" s="14"/>
      <c r="H81" s="14"/>
      <c r="I81" s="14"/>
      <c r="J81" s="14"/>
      <c r="K81" s="14"/>
    </row>
    <row r="82" spans="2:11">
      <c r="B82" s="14" t="s">
        <v>444</v>
      </c>
      <c r="C82" s="210" t="str">
        <f>'RFPR cover'!$C$14</f>
        <v>£m 12/13</v>
      </c>
      <c r="D82" s="609">
        <f t="shared" ref="D82:K82" si="14">D$69-D54</f>
        <v>1.2866804889204744</v>
      </c>
      <c r="E82" s="610">
        <f t="shared" si="14"/>
        <v>6.1934097968150112</v>
      </c>
      <c r="F82" s="610">
        <f t="shared" si="14"/>
        <v>-5.1546306196629779</v>
      </c>
      <c r="G82" s="610">
        <f t="shared" si="14"/>
        <v>-1.3933202992617275</v>
      </c>
      <c r="H82" s="610">
        <f t="shared" si="14"/>
        <v>-3.5047487058716698</v>
      </c>
      <c r="I82" s="610">
        <f t="shared" si="14"/>
        <v>-2.7593396128052952</v>
      </c>
      <c r="J82" s="610">
        <f t="shared" si="14"/>
        <v>-4.4203377194232587</v>
      </c>
      <c r="K82" s="611">
        <f t="shared" si="14"/>
        <v>-3.5050007393230125</v>
      </c>
    </row>
    <row r="84" spans="2:11">
      <c r="B84" s="14" t="s">
        <v>443</v>
      </c>
      <c r="C84" s="210" t="str">
        <f>'RFPR cover'!$C$14</f>
        <v>£m 12/13</v>
      </c>
      <c r="D84" s="609">
        <f>D80-D82</f>
        <v>-0.69484873860880647</v>
      </c>
      <c r="E84" s="610">
        <f t="shared" ref="E84:K84" si="15">E80-E82</f>
        <v>-0.3733857960739595</v>
      </c>
      <c r="F84" s="610">
        <f t="shared" si="15"/>
        <v>-0.15847346139171492</v>
      </c>
      <c r="G84" s="610">
        <f t="shared" si="15"/>
        <v>-0.16867007976859938</v>
      </c>
      <c r="H84" s="610">
        <f t="shared" si="15"/>
        <v>-0.19304704882868684</v>
      </c>
      <c r="I84" s="610">
        <f t="shared" si="15"/>
        <v>-0.25697844807938885</v>
      </c>
      <c r="J84" s="610">
        <f t="shared" si="15"/>
        <v>-0.44091417857671367</v>
      </c>
      <c r="K84" s="611">
        <f t="shared" si="15"/>
        <v>-0.37663820337219711</v>
      </c>
    </row>
    <row r="86" spans="2:11">
      <c r="B86" t="s">
        <v>527</v>
      </c>
      <c r="C86" s="265" t="s">
        <v>128</v>
      </c>
      <c r="D86" s="585">
        <f>-'R7 - Financing'!D86*Data!$G$20*D$40</f>
        <v>0.58195859593043564</v>
      </c>
      <c r="E86" s="585">
        <f>-'R7 - Financing'!E86*Data!$G$21*E$40</f>
        <v>-0.12605586992746132</v>
      </c>
      <c r="F86" s="585">
        <f>-'R7 - Financing'!F86*Data!$G$22*F$40</f>
        <v>-2.2484907872003985</v>
      </c>
      <c r="G86" s="585">
        <f>-'R7 - Financing'!G86*Data!$G$23*G$40</f>
        <v>-1.6218491626248914</v>
      </c>
      <c r="H86" s="585">
        <f>-'R7 - Financing'!H86*Data!$G$24*H$40</f>
        <v>-6.1435104271045808E-2</v>
      </c>
      <c r="I86" s="585">
        <f>-'R7 - Financing'!I86*Data!$G$25*I$40</f>
        <v>2.4211771787995495</v>
      </c>
      <c r="J86" s="585">
        <f>-'R7 - Financing'!J86*Data!$G$26*J$40</f>
        <v>2.3833070096421416</v>
      </c>
      <c r="K86" s="585">
        <f>-'R7 - Financing'!K86*Data!$G$27*K$40</f>
        <v>2.3199759275188141</v>
      </c>
    </row>
    <row r="87" spans="2:11">
      <c r="B87" t="s">
        <v>527</v>
      </c>
      <c r="C87" s="395" t="str">
        <f>'RFPR cover'!$C$14</f>
        <v>£m 12/13</v>
      </c>
      <c r="D87" s="785">
        <f>D86/D$40</f>
        <v>0.54885353620888377</v>
      </c>
      <c r="E87" s="785">
        <f t="shared" ref="E87:K87" si="16">E86/E$40</f>
        <v>-0.11639113623996798</v>
      </c>
      <c r="F87" s="785">
        <f t="shared" si="16"/>
        <v>-2.0012130725852195</v>
      </c>
      <c r="G87" s="785">
        <f t="shared" si="16"/>
        <v>-1.4006873927501</v>
      </c>
      <c r="H87" s="785">
        <f t="shared" si="16"/>
        <v>-5.1718726603581497E-2</v>
      </c>
      <c r="I87" s="785">
        <f t="shared" si="16"/>
        <v>2.0041805468592813</v>
      </c>
      <c r="J87" s="785">
        <f t="shared" si="16"/>
        <v>1.9317823397722313</v>
      </c>
      <c r="K87" s="785">
        <f t="shared" si="16"/>
        <v>1.8332435011802926</v>
      </c>
    </row>
    <row r="88" spans="2:11">
      <c r="B88" t="s">
        <v>528</v>
      </c>
      <c r="C88" s="265" t="s">
        <v>128</v>
      </c>
      <c r="D88" s="585">
        <f>-'R7 - Financing'!D88*Data!$G$20*D$40</f>
        <v>1.3187183499040664</v>
      </c>
      <c r="E88" s="585">
        <f>-'R7 - Financing'!E88*Data!$G$21*E$40</f>
        <v>0.27833464350149872</v>
      </c>
      <c r="F88" s="585">
        <f>-'R7 - Financing'!F88*Data!$G$22*F$40</f>
        <v>-2.0704357250801428</v>
      </c>
      <c r="G88" s="585">
        <f>-'R7 - Financing'!G88*Data!$G$23*G$40</f>
        <v>-1.4265468924334852</v>
      </c>
      <c r="H88" s="585">
        <f>-'R7 - Financing'!H88*Data!$G$24*H$40</f>
        <v>0.16787962083641081</v>
      </c>
      <c r="I88" s="585">
        <f>-'R7 - Financing'!I88*Data!$G$25*I$40</f>
        <v>2.731623438198767</v>
      </c>
      <c r="J88" s="585">
        <f>-'R7 - Financing'!J88*Data!$G$26*J$40</f>
        <v>2.9272781552611584</v>
      </c>
      <c r="K88" s="585">
        <f>-'R7 - Financing'!K88*Data!$G$27*K$40</f>
        <v>2.7966128634440528</v>
      </c>
    </row>
    <row r="89" spans="2:11">
      <c r="B89" t="s">
        <v>528</v>
      </c>
      <c r="C89" s="395" t="str">
        <f>'RFPR cover'!$C$14</f>
        <v>£m 12/13</v>
      </c>
      <c r="D89" s="785">
        <f t="shared" ref="D89:K89" si="17">D88/D$40</f>
        <v>1.2437022748176889</v>
      </c>
      <c r="E89" s="785">
        <f t="shared" si="17"/>
        <v>0.25699465983399195</v>
      </c>
      <c r="F89" s="785">
        <f t="shared" si="17"/>
        <v>-1.8427396111935046</v>
      </c>
      <c r="G89" s="785">
        <f t="shared" si="17"/>
        <v>-1.2320173129815009</v>
      </c>
      <c r="H89" s="785">
        <f t="shared" si="17"/>
        <v>0.14132832222510447</v>
      </c>
      <c r="I89" s="785">
        <f t="shared" si="17"/>
        <v>2.2611589949386706</v>
      </c>
      <c r="J89" s="785">
        <f t="shared" si="17"/>
        <v>2.3726965183489437</v>
      </c>
      <c r="K89" s="785">
        <f t="shared" si="17"/>
        <v>2.209881704552489</v>
      </c>
    </row>
    <row r="90" spans="2:11">
      <c r="B90" t="s">
        <v>531</v>
      </c>
      <c r="C90" s="395" t="str">
        <f>'RFPR cover'!$C$14</f>
        <v>£m 12/13</v>
      </c>
      <c r="D90" s="785">
        <f>D87-D89</f>
        <v>-0.69484873860880514</v>
      </c>
      <c r="E90" s="785">
        <f t="shared" ref="E90:K90" si="18">E87-E89</f>
        <v>-0.37338579607395994</v>
      </c>
      <c r="F90" s="785">
        <f t="shared" si="18"/>
        <v>-0.15847346139171492</v>
      </c>
      <c r="G90" s="785">
        <f t="shared" si="18"/>
        <v>-0.16867007976859916</v>
      </c>
      <c r="H90" s="785">
        <f t="shared" si="18"/>
        <v>-0.19304704882868595</v>
      </c>
      <c r="I90" s="785">
        <f t="shared" si="18"/>
        <v>-0.2569784480793893</v>
      </c>
      <c r="J90" s="785">
        <f t="shared" si="18"/>
        <v>-0.44091417857671233</v>
      </c>
      <c r="K90" s="785">
        <f t="shared" si="18"/>
        <v>-0.37663820337219645</v>
      </c>
    </row>
  </sheetData>
  <conditionalFormatting sqref="D6:K7">
    <cfRule type="expression" dxfId="29" priority="72">
      <formula>AND(D$6="Actuals",E$6="Forecast")</formula>
    </cfRule>
  </conditionalFormatting>
  <conditionalFormatting sqref="D5:K5">
    <cfRule type="expression" dxfId="28" priority="47">
      <formula>AND(D$5="Actuals",E$5="Forecast")</formula>
    </cfRule>
  </conditionalFormatting>
  <conditionalFormatting sqref="D37:F37">
    <cfRule type="expression" dxfId="27" priority="15">
      <formula>AND(D$5="Actuals",E$5="Actuals")</formula>
    </cfRule>
  </conditionalFormatting>
  <conditionalFormatting sqref="H24:K34 D12:K12 D15:K19">
    <cfRule type="expression" dxfId="26" priority="14">
      <formula>NOT(AND(D$5="Actuals"))</formula>
    </cfRule>
  </conditionalFormatting>
  <conditionalFormatting sqref="G37">
    <cfRule type="expression" dxfId="25" priority="180">
      <formula>AND(E$5="Actuals",F$5="Actuals")</formula>
    </cfRule>
  </conditionalFormatting>
  <conditionalFormatting sqref="D24:G34">
    <cfRule type="expression" dxfId="24" priority="3">
      <formula>NOT(AND(D$5="Actuals"))</formula>
    </cfRule>
  </conditionalFormatting>
  <conditionalFormatting sqref="H37:K37">
    <cfRule type="expression" dxfId="23" priority="1">
      <formula>AND(H$5="Actuals",I$5="Actuals")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4" t="s">
        <v>260</v>
      </c>
      <c r="B1" s="935"/>
      <c r="C1" s="119"/>
      <c r="D1" s="119"/>
      <c r="E1" s="119"/>
      <c r="F1" s="119"/>
      <c r="G1" s="119"/>
      <c r="H1" s="119"/>
      <c r="I1" s="125"/>
      <c r="J1" s="125"/>
      <c r="K1" s="126"/>
      <c r="L1" s="127"/>
    </row>
    <row r="2" spans="1:18" s="31" customFormat="1" ht="21">
      <c r="A2" s="909" t="str">
        <f>'RFPR cover'!C5</f>
        <v>WPD-SWEST</v>
      </c>
      <c r="B2" s="901"/>
      <c r="C2" s="29"/>
      <c r="D2" s="29"/>
      <c r="E2" s="29"/>
      <c r="F2" s="29"/>
      <c r="G2" s="29"/>
      <c r="H2" s="29"/>
      <c r="I2" s="27"/>
      <c r="J2" s="27"/>
      <c r="K2" s="27"/>
      <c r="L2" s="122"/>
    </row>
    <row r="3" spans="1:18" s="31" customFormat="1" ht="22.8">
      <c r="A3" s="926">
        <f>'RFPR cover'!C7</f>
        <v>2020</v>
      </c>
      <c r="B3" s="918" t="str">
        <f>'R1 - RoRE'!B3</f>
        <v/>
      </c>
      <c r="C3" s="123"/>
      <c r="D3" s="123"/>
      <c r="E3" s="123"/>
      <c r="F3" s="123"/>
      <c r="G3" s="123"/>
      <c r="H3" s="123"/>
      <c r="I3" s="28"/>
      <c r="J3" s="28"/>
      <c r="K3" s="28"/>
      <c r="L3" s="124"/>
    </row>
    <row r="4" spans="1:18" s="2" customFormat="1" ht="12.75" customHeight="1"/>
    <row r="5" spans="1:18" s="2" customFormat="1">
      <c r="B5" s="3"/>
      <c r="C5" s="3"/>
      <c r="D5" s="388" t="str">
        <f>IF(D6&lt;='RFPR cover'!$C$7,"Actuals","N/A")</f>
        <v>Actuals</v>
      </c>
      <c r="E5" s="389" t="str">
        <f>IF(E6&lt;='RFPR cover'!$C$7,"Actuals","N/A")</f>
        <v>Actuals</v>
      </c>
      <c r="F5" s="389" t="str">
        <f>IF(F6&lt;='RFPR cover'!$C$7,"Actuals","N/A")</f>
        <v>Actuals</v>
      </c>
      <c r="G5" s="389" t="str">
        <f>IF(G6&lt;='RFPR cover'!$C$7,"Actuals","N/A")</f>
        <v>Actuals</v>
      </c>
      <c r="H5" s="389" t="str">
        <f>IF(H6&lt;='RFPR cover'!$C$7,"Actuals","N/A")</f>
        <v>Actuals</v>
      </c>
      <c r="I5" s="389" t="str">
        <f>IF(I6&lt;='RFPR cover'!$C$7,"Actuals","N/A")</f>
        <v>N/A</v>
      </c>
      <c r="J5" s="389" t="str">
        <f>IF(J6&lt;='RFPR cover'!$C$7,"Actuals","N/A")</f>
        <v>N/A</v>
      </c>
      <c r="K5" s="390" t="str">
        <f>IF(K6&lt;='RFPR cover'!$C$7,"Actuals","N/A")</f>
        <v>N/A</v>
      </c>
    </row>
    <row r="6" spans="1:18" s="2" customFormat="1">
      <c r="D6" s="116">
        <f>'RFPR cover'!$C$13</f>
        <v>2016</v>
      </c>
      <c r="E6" s="117">
        <f>D6+1</f>
        <v>2017</v>
      </c>
      <c r="F6" s="117">
        <f t="shared" ref="F6:K6" si="0">E6+1</f>
        <v>2018</v>
      </c>
      <c r="G6" s="117">
        <f t="shared" si="0"/>
        <v>2019</v>
      </c>
      <c r="H6" s="117">
        <f t="shared" si="0"/>
        <v>2020</v>
      </c>
      <c r="I6" s="117">
        <f t="shared" si="0"/>
        <v>2021</v>
      </c>
      <c r="J6" s="117">
        <f t="shared" si="0"/>
        <v>2022</v>
      </c>
      <c r="K6" s="194">
        <f t="shared" si="0"/>
        <v>2023</v>
      </c>
    </row>
    <row r="7" spans="1:18" s="2" customFormat="1"/>
    <row r="8" spans="1:18">
      <c r="B8" s="14" t="s">
        <v>230</v>
      </c>
      <c r="C8" s="151" t="s">
        <v>128</v>
      </c>
      <c r="D8" s="637">
        <v>125.2</v>
      </c>
      <c r="E8" s="638">
        <v>24.4</v>
      </c>
      <c r="F8" s="638">
        <v>94.9</v>
      </c>
      <c r="G8" s="638">
        <v>38.6</v>
      </c>
      <c r="H8" s="638">
        <v>25</v>
      </c>
      <c r="I8" s="638"/>
      <c r="J8" s="638"/>
      <c r="K8" s="639"/>
    </row>
    <row r="9" spans="1:18">
      <c r="B9" s="15" t="s">
        <v>105</v>
      </c>
      <c r="C9" s="14"/>
      <c r="D9" s="748"/>
      <c r="E9" s="748"/>
      <c r="F9" s="748"/>
      <c r="G9" s="748"/>
      <c r="H9" s="748"/>
      <c r="I9" s="748"/>
      <c r="J9" s="748"/>
      <c r="K9" s="748"/>
    </row>
    <row r="10" spans="1:18">
      <c r="B10" s="429" t="s">
        <v>615</v>
      </c>
      <c r="C10" s="151" t="s">
        <v>128</v>
      </c>
      <c r="D10" s="593">
        <v>5.507261804362539</v>
      </c>
      <c r="E10" s="594">
        <v>0.97126222828598407</v>
      </c>
      <c r="F10" s="594">
        <v>5.34399111117727</v>
      </c>
      <c r="G10" s="594">
        <v>2.7648099392942198</v>
      </c>
      <c r="H10" s="594">
        <v>2.5165511353456438</v>
      </c>
      <c r="I10" s="594"/>
      <c r="J10" s="594"/>
      <c r="K10" s="604"/>
    </row>
    <row r="11" spans="1:18">
      <c r="B11" s="429" t="s">
        <v>22</v>
      </c>
      <c r="C11" s="151" t="s">
        <v>128</v>
      </c>
      <c r="D11" s="595"/>
      <c r="E11" s="596"/>
      <c r="F11" s="596"/>
      <c r="G11" s="596"/>
      <c r="H11" s="596"/>
      <c r="I11" s="596"/>
      <c r="J11" s="596"/>
      <c r="K11" s="605"/>
    </row>
    <row r="12" spans="1:18">
      <c r="B12" s="429" t="s">
        <v>20</v>
      </c>
      <c r="C12" s="151" t="s">
        <v>128</v>
      </c>
      <c r="D12" s="606"/>
      <c r="E12" s="607"/>
      <c r="F12" s="607"/>
      <c r="G12" s="607"/>
      <c r="H12" s="607"/>
      <c r="I12" s="607"/>
      <c r="J12" s="607"/>
      <c r="K12" s="608"/>
      <c r="Q12" s="215"/>
    </row>
    <row r="13" spans="1:18">
      <c r="B13" s="14" t="s">
        <v>106</v>
      </c>
      <c r="C13" s="151" t="s">
        <v>128</v>
      </c>
      <c r="D13" s="738">
        <f>D8-SUM(D10:D12)</f>
        <v>119.69273819563746</v>
      </c>
      <c r="E13" s="739">
        <f t="shared" ref="E13:K13" si="1">E8-SUM(E10:E12)</f>
        <v>23.428737771714015</v>
      </c>
      <c r="F13" s="739">
        <f t="shared" si="1"/>
        <v>89.556008888822731</v>
      </c>
      <c r="G13" s="739">
        <f t="shared" si="1"/>
        <v>35.835190060705784</v>
      </c>
      <c r="H13" s="739">
        <f t="shared" si="1"/>
        <v>22.483448864654356</v>
      </c>
      <c r="I13" s="739">
        <f t="shared" si="1"/>
        <v>0</v>
      </c>
      <c r="J13" s="739">
        <f t="shared" si="1"/>
        <v>0</v>
      </c>
      <c r="K13" s="740">
        <f t="shared" si="1"/>
        <v>0</v>
      </c>
      <c r="R13" s="214"/>
    </row>
    <row r="14" spans="1:18">
      <c r="C14" s="14"/>
      <c r="Q14" s="215"/>
    </row>
    <row r="15" spans="1:18">
      <c r="B15" s="14" t="s">
        <v>503</v>
      </c>
      <c r="C15" s="151" t="s">
        <v>128</v>
      </c>
      <c r="D15" s="593"/>
      <c r="E15" s="594"/>
      <c r="F15" s="594"/>
      <c r="G15" s="594"/>
      <c r="H15" s="594"/>
      <c r="I15" s="594"/>
      <c r="J15" s="594"/>
      <c r="K15" s="604"/>
    </row>
  </sheetData>
  <conditionalFormatting sqref="D6:K6">
    <cfRule type="expression" dxfId="22" priority="10">
      <formula>AND(D$5="Actuals",E$5="N/A")</formula>
    </cfRule>
  </conditionalFormatting>
  <conditionalFormatting sqref="D5:K5">
    <cfRule type="expression" dxfId="21" priority="3">
      <formula>AND(D$5="Actuals",E$5="N/A")</formula>
    </cfRule>
  </conditionalFormatting>
  <conditionalFormatting sqref="D8:K8 D5:K6 D10:K13">
    <cfRule type="expression" dxfId="20" priority="2">
      <formula>D$5="N/A"</formula>
    </cfRule>
  </conditionalFormatting>
  <conditionalFormatting sqref="D15:K15">
    <cfRule type="expression" dxfId="19"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20" t="s">
        <v>259</v>
      </c>
      <c r="B1" s="916"/>
      <c r="C1" s="255"/>
      <c r="D1" s="255"/>
      <c r="E1" s="255"/>
      <c r="F1" s="255"/>
      <c r="G1" s="255"/>
      <c r="H1" s="255"/>
      <c r="I1" s="256"/>
      <c r="J1" s="256"/>
      <c r="K1" s="257"/>
      <c r="L1" s="258"/>
    </row>
    <row r="2" spans="1:12" s="31" customFormat="1" ht="21">
      <c r="A2" s="909" t="str">
        <f>'RFPR cover'!C5</f>
        <v>WPD-SWEST</v>
      </c>
      <c r="B2" s="901"/>
      <c r="C2" s="29"/>
      <c r="D2" s="29"/>
      <c r="E2" s="29"/>
      <c r="F2" s="29"/>
      <c r="G2" s="29"/>
      <c r="H2" s="29"/>
      <c r="I2" s="27"/>
      <c r="J2" s="27"/>
      <c r="K2" s="27"/>
      <c r="L2" s="122"/>
    </row>
    <row r="3" spans="1:12" s="31" customFormat="1" ht="21">
      <c r="A3" s="912">
        <f>'RFPR cover'!C7</f>
        <v>2020</v>
      </c>
      <c r="B3" s="919"/>
      <c r="C3" s="259"/>
      <c r="D3" s="259"/>
      <c r="E3" s="259"/>
      <c r="F3" s="259"/>
      <c r="G3" s="259"/>
      <c r="H3" s="259"/>
      <c r="I3" s="254"/>
      <c r="J3" s="254"/>
      <c r="K3" s="254"/>
      <c r="L3" s="260"/>
    </row>
    <row r="4" spans="1:12" s="2" customFormat="1" ht="12.75" customHeight="1">
      <c r="A4" s="35"/>
      <c r="B4" s="268"/>
      <c r="C4" s="31"/>
      <c r="D4" s="269"/>
      <c r="E4" s="269"/>
      <c r="F4" s="35"/>
      <c r="G4" s="35"/>
      <c r="H4" s="35"/>
      <c r="I4" s="35"/>
      <c r="J4" s="35"/>
      <c r="K4" s="35"/>
    </row>
    <row r="5" spans="1:12" s="2" customFormat="1" ht="12.75" customHeight="1">
      <c r="A5" s="35"/>
      <c r="B5" s="268"/>
      <c r="C5" s="31"/>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row>
    <row r="6" spans="1:12" s="2" customFormat="1">
      <c r="A6" s="35"/>
      <c r="B6" s="35"/>
      <c r="C6" s="31"/>
      <c r="D6" s="116">
        <f>'RFPR cover'!$C$13</f>
        <v>2016</v>
      </c>
      <c r="E6" s="117">
        <f>D6+1</f>
        <v>2017</v>
      </c>
      <c r="F6" s="117">
        <f t="shared" ref="F6:K6" si="0">E6+1</f>
        <v>2018</v>
      </c>
      <c r="G6" s="117">
        <f t="shared" si="0"/>
        <v>2019</v>
      </c>
      <c r="H6" s="117">
        <f t="shared" si="0"/>
        <v>2020</v>
      </c>
      <c r="I6" s="117">
        <f t="shared" si="0"/>
        <v>2021</v>
      </c>
      <c r="J6" s="117">
        <f t="shared" si="0"/>
        <v>2022</v>
      </c>
      <c r="K6" s="194">
        <f t="shared" si="0"/>
        <v>2023</v>
      </c>
    </row>
    <row r="7" spans="1:12" s="2" customFormat="1">
      <c r="A7" s="35"/>
      <c r="B7" s="35"/>
      <c r="C7" s="31"/>
      <c r="D7" s="31"/>
      <c r="E7" s="31"/>
      <c r="F7" s="31"/>
      <c r="G7" s="31"/>
      <c r="H7" s="31"/>
      <c r="I7" s="31"/>
      <c r="J7" s="31"/>
      <c r="K7" s="31"/>
      <c r="L7" s="31"/>
    </row>
    <row r="8" spans="1:12">
      <c r="B8" s="14" t="s">
        <v>392</v>
      </c>
      <c r="C8" s="151" t="s">
        <v>128</v>
      </c>
      <c r="D8" s="749">
        <v>51.763798323994465</v>
      </c>
      <c r="E8" s="750">
        <v>105.85862570239269</v>
      </c>
      <c r="F8" s="750">
        <v>0</v>
      </c>
      <c r="G8" s="750">
        <v>54.344982891809458</v>
      </c>
      <c r="H8" s="750">
        <v>53.633380647422761</v>
      </c>
      <c r="I8" s="750"/>
      <c r="J8" s="750"/>
      <c r="K8" s="751"/>
    </row>
    <row r="9" spans="1:12">
      <c r="B9" s="16" t="s">
        <v>24</v>
      </c>
      <c r="D9" s="748"/>
      <c r="E9" s="748"/>
      <c r="F9" s="748"/>
      <c r="G9" s="748"/>
      <c r="H9" s="748"/>
      <c r="I9" s="748"/>
      <c r="J9" s="748"/>
      <c r="K9" s="748"/>
    </row>
    <row r="10" spans="1:12">
      <c r="B10" t="s">
        <v>23</v>
      </c>
      <c r="C10" s="151" t="s">
        <v>128</v>
      </c>
      <c r="D10" s="676">
        <v>41.00773470345063</v>
      </c>
      <c r="E10" s="677">
        <v>83.862165828947809</v>
      </c>
      <c r="F10" s="677">
        <v>0</v>
      </c>
      <c r="G10" s="677">
        <v>42.928145743424871</v>
      </c>
      <c r="H10" s="677">
        <v>42.366037424828896</v>
      </c>
      <c r="I10" s="677"/>
      <c r="J10" s="677"/>
      <c r="K10" s="678"/>
    </row>
    <row r="11" spans="1:12">
      <c r="B11" t="s">
        <v>25</v>
      </c>
      <c r="C11" s="151" t="s">
        <v>128</v>
      </c>
      <c r="D11" s="752">
        <v>1.1916971284990834</v>
      </c>
      <c r="E11" s="753">
        <v>2.4370588009559624</v>
      </c>
      <c r="F11" s="753">
        <v>0</v>
      </c>
      <c r="G11" s="753">
        <v>-8.8552002484216935E-2</v>
      </c>
      <c r="H11" s="753">
        <v>-8.7392487836136998E-2</v>
      </c>
      <c r="I11" s="753"/>
      <c r="J11" s="753"/>
      <c r="K11" s="754"/>
    </row>
    <row r="12" spans="1:12">
      <c r="D12" s="748"/>
      <c r="E12" s="748"/>
      <c r="F12" s="748"/>
      <c r="G12" s="748"/>
      <c r="H12" s="748"/>
      <c r="I12" s="748"/>
      <c r="J12" s="748"/>
      <c r="K12" s="748"/>
    </row>
    <row r="13" spans="1:12">
      <c r="D13" s="748"/>
      <c r="E13" s="748"/>
      <c r="F13" s="748"/>
      <c r="G13" s="748"/>
      <c r="H13" s="748"/>
      <c r="I13" s="748"/>
      <c r="J13" s="748"/>
      <c r="K13" s="748"/>
    </row>
    <row r="14" spans="1:12">
      <c r="B14" t="s">
        <v>23</v>
      </c>
      <c r="C14" s="209" t="str">
        <f>'RFPR cover'!$C$14</f>
        <v>£m 12/13</v>
      </c>
      <c r="D14" s="17">
        <f>D10/Data!C$34</f>
        <v>38.674985404966918</v>
      </c>
      <c r="E14" s="17">
        <f>E10/Data!D$34</f>
        <v>77.432433523267889</v>
      </c>
      <c r="F14" s="17">
        <f>F10/Data!E$34</f>
        <v>0</v>
      </c>
      <c r="G14" s="17">
        <f>G10/Data!F$34</f>
        <v>37.074293912535055</v>
      </c>
      <c r="H14" s="17">
        <f>H10/Data!G$34</f>
        <v>35.665561780196981</v>
      </c>
      <c r="I14" s="17">
        <f>I10/Data!H$34</f>
        <v>0</v>
      </c>
      <c r="J14" s="17">
        <f>J10/Data!I$34</f>
        <v>0</v>
      </c>
      <c r="K14" s="17">
        <f>K10/Data!J$34</f>
        <v>0</v>
      </c>
    </row>
    <row r="15" spans="1:12">
      <c r="D15" s="748"/>
      <c r="E15" s="748"/>
      <c r="F15" s="748"/>
      <c r="G15" s="748"/>
      <c r="H15" s="748"/>
      <c r="I15" s="748"/>
      <c r="J15" s="748"/>
      <c r="K15" s="748"/>
    </row>
    <row r="16" spans="1:12">
      <c r="D16" s="748"/>
      <c r="E16" s="748"/>
      <c r="F16" s="748"/>
      <c r="G16" s="748"/>
      <c r="H16" s="748"/>
      <c r="I16" s="748"/>
      <c r="J16" s="748"/>
      <c r="K16" s="748"/>
    </row>
    <row r="17" spans="2:11" s="2" customFormat="1">
      <c r="B17" s="14" t="s">
        <v>313</v>
      </c>
      <c r="C17" s="209" t="str">
        <f>'RFPR cover'!$C$14</f>
        <v>£m 12/13</v>
      </c>
      <c r="D17" s="945">
        <v>38.102678465092197</v>
      </c>
      <c r="E17" s="945">
        <v>38.102678465092197</v>
      </c>
      <c r="F17" s="945">
        <v>38.102678465092197</v>
      </c>
      <c r="G17" s="945">
        <v>38.096387397332229</v>
      </c>
      <c r="H17" s="945">
        <v>38.096387397332229</v>
      </c>
      <c r="I17" s="945">
        <v>38.096387397332229</v>
      </c>
      <c r="J17" s="945">
        <v>38.096387397332229</v>
      </c>
      <c r="K17" s="945">
        <v>28.271333543935324</v>
      </c>
    </row>
    <row r="18" spans="2:11" s="2" customFormat="1">
      <c r="B18" s="199" t="s">
        <v>314</v>
      </c>
      <c r="C18" s="209" t="str">
        <f>'RFPR cover'!$C$14</f>
        <v>£m 12/13</v>
      </c>
      <c r="D18" s="945">
        <v>1.7436112179257888</v>
      </c>
      <c r="E18" s="945">
        <v>1.7436112179257888</v>
      </c>
      <c r="F18" s="945">
        <v>1.7436112179257888</v>
      </c>
      <c r="G18" s="945">
        <v>1.73732015016582</v>
      </c>
      <c r="H18" s="945">
        <v>1.73732015016582</v>
      </c>
      <c r="I18" s="945">
        <v>1.73732015016582</v>
      </c>
      <c r="J18" s="945">
        <v>1.73732015016582</v>
      </c>
      <c r="K18" s="945">
        <v>7.6973201501658197</v>
      </c>
    </row>
    <row r="19" spans="2:11" s="2" customFormat="1">
      <c r="B19" s="14" t="s">
        <v>315</v>
      </c>
      <c r="C19" s="209" t="str">
        <f>'RFPR cover'!$C$14</f>
        <v>£m 12/13</v>
      </c>
      <c r="D19" s="17">
        <f>D17-D18</f>
        <v>36.359067247166408</v>
      </c>
      <c r="E19" s="17">
        <f t="shared" ref="E19:K19" si="1">E17-E18</f>
        <v>36.359067247166408</v>
      </c>
      <c r="F19" s="17">
        <f t="shared" si="1"/>
        <v>36.359067247166408</v>
      </c>
      <c r="G19" s="17">
        <f t="shared" si="1"/>
        <v>36.359067247166408</v>
      </c>
      <c r="H19" s="17">
        <f t="shared" si="1"/>
        <v>36.359067247166408</v>
      </c>
      <c r="I19" s="17">
        <f t="shared" si="1"/>
        <v>36.359067247166408</v>
      </c>
      <c r="J19" s="17">
        <f t="shared" si="1"/>
        <v>36.359067247166408</v>
      </c>
      <c r="K19" s="17">
        <f t="shared" si="1"/>
        <v>20.574013393769505</v>
      </c>
    </row>
    <row r="20" spans="2:11" s="2" customFormat="1">
      <c r="B20" s="14"/>
      <c r="C20" s="14"/>
      <c r="D20" s="14"/>
      <c r="E20" s="14"/>
      <c r="F20" s="14"/>
      <c r="G20" s="14"/>
      <c r="H20" s="14"/>
      <c r="I20" s="14"/>
      <c r="J20" s="14"/>
      <c r="K20" s="14"/>
    </row>
    <row r="21" spans="2:11" s="2" customFormat="1">
      <c r="B21" s="14"/>
      <c r="C21" s="14"/>
      <c r="D21" s="1013" t="s">
        <v>118</v>
      </c>
      <c r="E21" s="14"/>
      <c r="F21" s="14"/>
      <c r="G21" s="14"/>
      <c r="H21" s="14"/>
      <c r="I21" s="14"/>
      <c r="J21" s="14"/>
      <c r="K21" s="14"/>
    </row>
    <row r="22" spans="2:11" s="2" customFormat="1" ht="12.75" customHeight="1">
      <c r="B22" s="14"/>
      <c r="C22" s="14"/>
      <c r="D22" s="1014"/>
      <c r="E22" s="14"/>
      <c r="F22" s="14"/>
      <c r="G22" s="14"/>
      <c r="H22" s="14"/>
      <c r="I22" s="14"/>
      <c r="J22" s="14"/>
      <c r="K22" s="14"/>
    </row>
    <row r="23" spans="2:11">
      <c r="C23" s="14"/>
      <c r="D23" s="1015"/>
      <c r="E23" s="14"/>
    </row>
    <row r="24" spans="2:11">
      <c r="B24" s="14" t="s">
        <v>117</v>
      </c>
      <c r="C24" s="14"/>
      <c r="D24" s="946">
        <v>42460</v>
      </c>
    </row>
    <row r="25" spans="2:11">
      <c r="B25" s="14"/>
      <c r="C25" s="14"/>
      <c r="D25" s="40"/>
      <c r="E25" s="41"/>
      <c r="F25" s="41"/>
    </row>
    <row r="26" spans="2:11">
      <c r="B26" s="199" t="s">
        <v>312</v>
      </c>
      <c r="C26" s="14"/>
      <c r="D26" s="947" t="s">
        <v>77</v>
      </c>
      <c r="E26" s="41"/>
      <c r="F26" s="41"/>
    </row>
    <row r="27" spans="2:11">
      <c r="B27" s="199"/>
      <c r="C27" s="14"/>
      <c r="D27" s="40"/>
      <c r="E27" s="41"/>
      <c r="F27" s="41"/>
    </row>
    <row r="28" spans="2:11">
      <c r="B28" s="14"/>
      <c r="D28" s="361" t="s">
        <v>282</v>
      </c>
      <c r="E28" s="41"/>
      <c r="F28" s="41"/>
    </row>
    <row r="29" spans="2:11">
      <c r="B29" t="s">
        <v>26</v>
      </c>
      <c r="D29" s="945">
        <v>200.01971999999998</v>
      </c>
    </row>
    <row r="30" spans="2:11">
      <c r="B30" t="s">
        <v>27</v>
      </c>
      <c r="D30" s="945">
        <v>2093.9802800000002</v>
      </c>
    </row>
    <row r="31" spans="2:11">
      <c r="D31" s="748"/>
    </row>
    <row r="32" spans="2:11">
      <c r="B32" t="s">
        <v>28</v>
      </c>
      <c r="D32" s="945">
        <v>201.00000000000003</v>
      </c>
    </row>
    <row r="33" spans="2:4">
      <c r="B33" t="s">
        <v>29</v>
      </c>
      <c r="D33" s="945">
        <v>1586</v>
      </c>
    </row>
    <row r="34" spans="2:4">
      <c r="D34" s="748"/>
    </row>
    <row r="35" spans="2:4">
      <c r="B35" s="43" t="s">
        <v>31</v>
      </c>
      <c r="D35" s="17">
        <f>D29-D32</f>
        <v>-0.98028000000005022</v>
      </c>
    </row>
    <row r="36" spans="2:4">
      <c r="B36" s="43" t="s">
        <v>30</v>
      </c>
      <c r="D36" s="17">
        <f>D30-D33</f>
        <v>507.98028000000022</v>
      </c>
    </row>
    <row r="37" spans="2:4">
      <c r="D37" s="748"/>
    </row>
    <row r="38" spans="2:4">
      <c r="B38" t="s">
        <v>32</v>
      </c>
      <c r="D38" s="945">
        <v>314.59113599414957</v>
      </c>
    </row>
    <row r="39" spans="2:4">
      <c r="B39" t="s">
        <v>33</v>
      </c>
      <c r="D39" s="945">
        <v>-0.5677801461908305</v>
      </c>
    </row>
  </sheetData>
  <mergeCells count="1">
    <mergeCell ref="D21:D23"/>
  </mergeCells>
  <conditionalFormatting sqref="D6:J6">
    <cfRule type="expression" dxfId="18" priority="22">
      <formula>AND(D$4="Actuals",E$4="Forecast")</formula>
    </cfRule>
  </conditionalFormatting>
  <conditionalFormatting sqref="I11:K11">
    <cfRule type="expression" dxfId="17" priority="16">
      <formula>I$5="Forecast"</formula>
    </cfRule>
    <cfRule type="expression" dxfId="16" priority="17">
      <formula>I$5="Actuals"</formula>
    </cfRule>
  </conditionalFormatting>
  <conditionalFormatting sqref="I8:K8">
    <cfRule type="expression" dxfId="15" priority="20">
      <formula>I$5="Forecast"</formula>
    </cfRule>
    <cfRule type="expression" dxfId="14" priority="21">
      <formula>I$5="Actuals"</formula>
    </cfRule>
  </conditionalFormatting>
  <conditionalFormatting sqref="I10:K10">
    <cfRule type="expression" dxfId="13" priority="18">
      <formula>I$5="Forecast"</formula>
    </cfRule>
    <cfRule type="expression" dxfId="12" priority="19">
      <formula>I$5="Actuals"</formula>
    </cfRule>
  </conditionalFormatting>
  <conditionalFormatting sqref="D5:K6">
    <cfRule type="expression" dxfId="11" priority="15">
      <formula>AND(D$5="Actuals",E$5="Forecast")</formula>
    </cfRule>
  </conditionalFormatting>
  <conditionalFormatting sqref="D21">
    <cfRule type="expression" dxfId="10" priority="12">
      <formula>AND(E$4="Actuals",F$4="Forecast")</formula>
    </cfRule>
  </conditionalFormatting>
  <conditionalFormatting sqref="K6">
    <cfRule type="expression" dxfId="9" priority="118">
      <formula>AND(K$4="Actuals",#REF!="Forecast")</formula>
    </cfRule>
  </conditionalFormatting>
  <conditionalFormatting sqref="K5">
    <cfRule type="expression" dxfId="8" priority="120">
      <formula>AND(K$5="Actuals",#REF!="Forecast")</formula>
    </cfRule>
  </conditionalFormatting>
  <conditionalFormatting sqref="D11:H11">
    <cfRule type="expression" dxfId="7" priority="1">
      <formula>D$5="Forecast"</formula>
    </cfRule>
    <cfRule type="expression" dxfId="6" priority="2">
      <formula>D$5="Actuals"</formula>
    </cfRule>
  </conditionalFormatting>
  <conditionalFormatting sqref="D8:H8">
    <cfRule type="expression" dxfId="5" priority="5">
      <formula>D$5="Forecast"</formula>
    </cfRule>
    <cfRule type="expression" dxfId="4" priority="6">
      <formula>D$5="Actuals"</formula>
    </cfRule>
  </conditionalFormatting>
  <conditionalFormatting sqref="D10:H10">
    <cfRule type="expression" dxfId="3" priority="3">
      <formula>D$5="Forecast"</formula>
    </cfRule>
    <cfRule type="expression" dxfId="2" priority="4">
      <formula>D$5="Actuals"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6" t="s">
        <v>258</v>
      </c>
      <c r="B1" s="916"/>
      <c r="C1" s="255"/>
      <c r="D1" s="255"/>
      <c r="E1" s="255"/>
      <c r="F1" s="255"/>
      <c r="G1" s="255"/>
      <c r="H1" s="255"/>
      <c r="I1" s="256"/>
      <c r="J1" s="256"/>
      <c r="K1" s="257"/>
      <c r="L1" s="362"/>
      <c r="M1" s="33"/>
      <c r="N1" s="33"/>
      <c r="O1" s="32" t="s">
        <v>84</v>
      </c>
      <c r="P1" s="33"/>
      <c r="Q1" s="33"/>
      <c r="R1" s="33"/>
      <c r="S1" s="33"/>
    </row>
    <row r="2" spans="1:19" s="31" customFormat="1" ht="21">
      <c r="A2" s="909" t="str">
        <f>'RFPR cover'!C5</f>
        <v>WPD-SWEST</v>
      </c>
      <c r="B2" s="901"/>
      <c r="C2" s="29"/>
      <c r="D2" s="29"/>
      <c r="E2" s="29"/>
      <c r="F2" s="29"/>
      <c r="G2" s="29"/>
      <c r="H2" s="29"/>
      <c r="I2" s="27"/>
      <c r="J2" s="27"/>
      <c r="K2" s="27"/>
      <c r="L2" s="122"/>
      <c r="M2" s="33"/>
      <c r="N2" s="33"/>
      <c r="O2" s="32" t="s">
        <v>84</v>
      </c>
      <c r="P2" s="33"/>
      <c r="Q2" s="33"/>
      <c r="R2" s="33"/>
      <c r="S2" s="33"/>
    </row>
    <row r="3" spans="1:19" s="31" customFormat="1" ht="21">
      <c r="A3" s="912">
        <f>'RFPR cover'!C7</f>
        <v>2020</v>
      </c>
      <c r="B3" s="919"/>
      <c r="C3" s="259"/>
      <c r="D3" s="259"/>
      <c r="E3" s="259"/>
      <c r="F3" s="259"/>
      <c r="G3" s="259"/>
      <c r="H3" s="259"/>
      <c r="I3" s="254"/>
      <c r="J3" s="254"/>
      <c r="K3" s="254"/>
      <c r="L3" s="260"/>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c r="M5" s="33"/>
      <c r="N5" s="33"/>
      <c r="O5" s="32" t="s">
        <v>84</v>
      </c>
      <c r="P5" s="33"/>
      <c r="Q5" s="33"/>
      <c r="R5" s="33"/>
      <c r="S5" s="33"/>
    </row>
    <row r="6" spans="1:19" s="2" customFormat="1">
      <c r="C6" s="14"/>
      <c r="D6" s="116">
        <f>'RFPR cover'!$C$13</f>
        <v>2016</v>
      </c>
      <c r="E6" s="117">
        <f>D6+1</f>
        <v>2017</v>
      </c>
      <c r="F6" s="117">
        <f t="shared" ref="F6:K6" si="0">E6+1</f>
        <v>2018</v>
      </c>
      <c r="G6" s="117">
        <f t="shared" si="0"/>
        <v>2019</v>
      </c>
      <c r="H6" s="117">
        <f t="shared" si="0"/>
        <v>2020</v>
      </c>
      <c r="I6" s="117">
        <f t="shared" si="0"/>
        <v>2021</v>
      </c>
      <c r="J6" s="117">
        <f t="shared" si="0"/>
        <v>2022</v>
      </c>
      <c r="K6" s="194">
        <f t="shared" si="0"/>
        <v>2023</v>
      </c>
    </row>
    <row r="7" spans="1:19">
      <c r="D7" s="758"/>
      <c r="E7" s="758"/>
      <c r="F7" s="758"/>
      <c r="G7" s="758"/>
      <c r="H7" s="758"/>
      <c r="I7" s="758"/>
      <c r="J7" s="758"/>
      <c r="K7" s="758"/>
    </row>
    <row r="8" spans="1:19">
      <c r="B8" s="51" t="s">
        <v>466</v>
      </c>
      <c r="C8" s="209" t="str">
        <f>'RFPR cover'!$C$14</f>
        <v>£m 12/13</v>
      </c>
      <c r="D8" s="755">
        <f>(D16+D21)/Data!C34</f>
        <v>2.3238338993111897E-3</v>
      </c>
      <c r="E8" s="755">
        <f>(E16+E21)/Data!D34</f>
        <v>1.6841534838787566E-3</v>
      </c>
      <c r="F8" s="755">
        <f>(F16+F21)/Data!E34</f>
        <v>2.8224028629577859E-3</v>
      </c>
      <c r="G8" s="755">
        <f>(G16+G21)/Data!F34</f>
        <v>1.5949630437545035E-3</v>
      </c>
      <c r="H8" s="755">
        <f>(H16+H21)/Data!G34</f>
        <v>3.1980782457456253E-3</v>
      </c>
      <c r="I8" s="755">
        <f>(I16+I21)/Data!H34</f>
        <v>2.1784369807992354E-3</v>
      </c>
      <c r="J8" s="755">
        <f>(J16+J21)/Data!I34</f>
        <v>2.1331084267311971E-3</v>
      </c>
      <c r="K8" s="755">
        <f>(K16+K21)/Data!J34</f>
        <v>2.0795597628381159E-3</v>
      </c>
    </row>
    <row r="9" spans="1:19">
      <c r="D9" s="758"/>
      <c r="E9" s="758"/>
      <c r="F9" s="758"/>
      <c r="G9" s="758"/>
      <c r="H9" s="758"/>
      <c r="I9" s="758"/>
      <c r="J9" s="758"/>
      <c r="K9" s="758"/>
    </row>
    <row r="10" spans="1:19">
      <c r="B10" s="14" t="s">
        <v>450</v>
      </c>
      <c r="D10" s="758"/>
      <c r="E10" s="758"/>
      <c r="F10" s="758"/>
      <c r="G10" s="758"/>
      <c r="H10" s="758"/>
      <c r="I10" s="758"/>
      <c r="J10" s="758"/>
      <c r="K10" s="758"/>
    </row>
    <row r="11" spans="1:19">
      <c r="B11" s="44" t="s">
        <v>36</v>
      </c>
      <c r="C11" s="151" t="s">
        <v>128</v>
      </c>
      <c r="D11" s="637">
        <v>0</v>
      </c>
      <c r="E11" s="638">
        <v>0</v>
      </c>
      <c r="F11" s="638">
        <v>0</v>
      </c>
      <c r="G11" s="638">
        <v>0</v>
      </c>
      <c r="H11" s="638">
        <v>0</v>
      </c>
      <c r="I11" s="638">
        <v>0</v>
      </c>
      <c r="J11" s="638">
        <v>0</v>
      </c>
      <c r="K11" s="639">
        <v>0</v>
      </c>
    </row>
    <row r="12" spans="1:19">
      <c r="B12" s="44" t="s">
        <v>36</v>
      </c>
      <c r="C12" s="151" t="s">
        <v>128</v>
      </c>
      <c r="D12" s="637">
        <v>0</v>
      </c>
      <c r="E12" s="638">
        <v>0</v>
      </c>
      <c r="F12" s="638">
        <v>0</v>
      </c>
      <c r="G12" s="638">
        <v>0</v>
      </c>
      <c r="H12" s="638">
        <v>0</v>
      </c>
      <c r="I12" s="638">
        <v>0</v>
      </c>
      <c r="J12" s="638">
        <v>0</v>
      </c>
      <c r="K12" s="639">
        <v>0</v>
      </c>
    </row>
    <row r="13" spans="1:19">
      <c r="B13" s="44" t="s">
        <v>20</v>
      </c>
      <c r="C13" s="151" t="s">
        <v>128</v>
      </c>
      <c r="D13" s="637">
        <v>0</v>
      </c>
      <c r="E13" s="638">
        <v>0</v>
      </c>
      <c r="F13" s="638">
        <v>0</v>
      </c>
      <c r="G13" s="638">
        <v>0</v>
      </c>
      <c r="H13" s="638">
        <v>0</v>
      </c>
      <c r="I13" s="638">
        <v>0</v>
      </c>
      <c r="J13" s="638">
        <v>0</v>
      </c>
      <c r="K13" s="639">
        <v>0</v>
      </c>
    </row>
    <row r="14" spans="1:19">
      <c r="B14" s="14" t="s">
        <v>463</v>
      </c>
      <c r="C14" s="151" t="s">
        <v>128</v>
      </c>
      <c r="D14" s="755">
        <f>SUM(D11:D13)</f>
        <v>0</v>
      </c>
      <c r="E14" s="756">
        <f t="shared" ref="E14:K14" si="1">SUM(E11:E13)</f>
        <v>0</v>
      </c>
      <c r="F14" s="756">
        <f t="shared" si="1"/>
        <v>0</v>
      </c>
      <c r="G14" s="756">
        <f t="shared" si="1"/>
        <v>0</v>
      </c>
      <c r="H14" s="756">
        <f t="shared" si="1"/>
        <v>0</v>
      </c>
      <c r="I14" s="756">
        <f t="shared" si="1"/>
        <v>0</v>
      </c>
      <c r="J14" s="756">
        <f t="shared" si="1"/>
        <v>0</v>
      </c>
      <c r="K14" s="757">
        <f t="shared" si="1"/>
        <v>0</v>
      </c>
    </row>
    <row r="15" spans="1:19">
      <c r="B15" s="35" t="s">
        <v>457</v>
      </c>
      <c r="C15" s="151" t="s">
        <v>128</v>
      </c>
      <c r="D15" s="637"/>
      <c r="E15" s="638"/>
      <c r="F15" s="638"/>
      <c r="G15" s="638"/>
      <c r="H15" s="638"/>
      <c r="I15" s="638"/>
      <c r="J15" s="638"/>
      <c r="K15" s="639"/>
    </row>
    <row r="16" spans="1:19">
      <c r="B16" s="51" t="s">
        <v>464</v>
      </c>
      <c r="C16" s="151" t="s">
        <v>128</v>
      </c>
      <c r="D16" s="755">
        <f>D14-D15</f>
        <v>0</v>
      </c>
      <c r="E16" s="755">
        <f t="shared" ref="E16:K16" si="2">E14-E15</f>
        <v>0</v>
      </c>
      <c r="F16" s="755">
        <f t="shared" si="2"/>
        <v>0</v>
      </c>
      <c r="G16" s="755">
        <f t="shared" si="2"/>
        <v>0</v>
      </c>
      <c r="H16" s="755">
        <f t="shared" si="2"/>
        <v>0</v>
      </c>
      <c r="I16" s="755">
        <f t="shared" si="2"/>
        <v>0</v>
      </c>
      <c r="J16" s="755">
        <f t="shared" si="2"/>
        <v>0</v>
      </c>
      <c r="K16" s="755">
        <f t="shared" si="2"/>
        <v>0</v>
      </c>
    </row>
    <row r="18" spans="2:11">
      <c r="B18" s="14" t="s">
        <v>461</v>
      </c>
      <c r="D18" s="758"/>
      <c r="E18" s="758"/>
      <c r="F18" s="758"/>
      <c r="G18" s="758"/>
      <c r="H18" s="758"/>
      <c r="I18" s="758"/>
      <c r="J18" s="758"/>
      <c r="K18" s="758"/>
    </row>
    <row r="19" spans="2:11">
      <c r="B19" s="843" t="s">
        <v>462</v>
      </c>
      <c r="C19" s="151" t="s">
        <v>128</v>
      </c>
      <c r="D19" s="637">
        <v>3.0799999999999994E-3</v>
      </c>
      <c r="E19" s="638">
        <v>2.2799999999999973E-3</v>
      </c>
      <c r="F19" s="638">
        <v>3.9149999999999949E-3</v>
      </c>
      <c r="G19" s="638">
        <v>2.2800000000000042E-3</v>
      </c>
      <c r="H19" s="638">
        <v>4.6899999999999997E-3</v>
      </c>
      <c r="I19" s="638">
        <f>AVERAGE($D$19:$H$19)</f>
        <v>3.2489999999999993E-3</v>
      </c>
      <c r="J19" s="638">
        <f t="shared" ref="J19:K19" si="3">AVERAGE($D$19:$H$19)</f>
        <v>3.2489999999999993E-3</v>
      </c>
      <c r="K19" s="639">
        <f t="shared" si="3"/>
        <v>3.2489999999999993E-3</v>
      </c>
    </row>
    <row r="20" spans="2:11">
      <c r="B20" s="35" t="s">
        <v>457</v>
      </c>
      <c r="C20" s="151" t="s">
        <v>128</v>
      </c>
      <c r="D20" s="637">
        <f>+D19*Data!G20</f>
        <v>6.159999999999999E-4</v>
      </c>
      <c r="E20" s="638">
        <f>+E19*Data!$G$21</f>
        <v>4.5599999999999948E-4</v>
      </c>
      <c r="F20" s="638">
        <f>+F19*Data!$G$22</f>
        <v>7.4384999999999903E-4</v>
      </c>
      <c r="G20" s="638">
        <f>+G19*Data!$G$23</f>
        <v>4.3320000000000083E-4</v>
      </c>
      <c r="H20" s="638">
        <f>+H19*Data!$G$24</f>
        <v>8.9109999999999992E-4</v>
      </c>
      <c r="I20" s="638">
        <f>+I19*Data!$G$25</f>
        <v>6.1730999999999982E-4</v>
      </c>
      <c r="J20" s="638">
        <f>+J19*Data!$G$26</f>
        <v>6.1730999999999982E-4</v>
      </c>
      <c r="K20" s="639">
        <f>+K19*Data!$G$27</f>
        <v>6.1730999999999982E-4</v>
      </c>
    </row>
    <row r="21" spans="2:11">
      <c r="B21" s="51" t="s">
        <v>465</v>
      </c>
      <c r="C21" s="151" t="s">
        <v>128</v>
      </c>
      <c r="D21" s="755">
        <f>D19-D20</f>
        <v>2.4639999999999996E-3</v>
      </c>
      <c r="E21" s="755">
        <f t="shared" ref="E21:K21" si="4">E19-E20</f>
        <v>1.8239999999999979E-3</v>
      </c>
      <c r="F21" s="755">
        <f t="shared" si="4"/>
        <v>3.1711499999999958E-3</v>
      </c>
      <c r="G21" s="755">
        <f t="shared" si="4"/>
        <v>1.8468000000000035E-3</v>
      </c>
      <c r="H21" s="755">
        <f t="shared" si="4"/>
        <v>3.7989E-3</v>
      </c>
      <c r="I21" s="755">
        <f t="shared" si="4"/>
        <v>2.6316899999999995E-3</v>
      </c>
      <c r="J21" s="755">
        <f t="shared" si="4"/>
        <v>2.6316899999999995E-3</v>
      </c>
      <c r="K21" s="755">
        <f t="shared" si="4"/>
        <v>2.6316899999999995E-3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70" zoomScaleNormal="70" workbookViewId="0">
      <pane ySplit="4" topLeftCell="A5" activePane="bottomLeft" state="frozen"/>
      <selection activeCell="B75" sqref="A1:XFD1048576"/>
      <selection pane="bottomLeft" activeCell="C8" sqref="C8"/>
    </sheetView>
  </sheetViews>
  <sheetFormatPr defaultRowHeight="12.6"/>
  <cols>
    <col min="1" max="1" width="8.36328125" customWidth="1"/>
    <col min="2" max="2" width="35.08984375" customWidth="1"/>
    <col min="8" max="8" width="10.08984375" bestFit="1" customWidth="1"/>
    <col min="14" max="14" width="9" customWidth="1"/>
  </cols>
  <sheetData>
    <row r="1" spans="1:14" ht="21">
      <c r="A1" s="906" t="s">
        <v>374</v>
      </c>
      <c r="B1" s="907"/>
      <c r="C1" s="907"/>
      <c r="D1" s="907"/>
      <c r="E1" s="907"/>
      <c r="F1" s="907"/>
      <c r="G1" s="907"/>
      <c r="H1" s="907"/>
      <c r="I1" s="907"/>
      <c r="J1" s="907"/>
      <c r="K1" s="907"/>
      <c r="L1" s="907"/>
      <c r="M1" s="907"/>
      <c r="N1" s="908"/>
    </row>
    <row r="2" spans="1:14" ht="21">
      <c r="A2" s="909" t="str">
        <f>'RFPR cover'!C5</f>
        <v>WPD-SWEST</v>
      </c>
      <c r="B2" s="910"/>
      <c r="C2" s="910"/>
      <c r="D2" s="910"/>
      <c r="E2" s="910"/>
      <c r="F2" s="910"/>
      <c r="G2" s="910"/>
      <c r="H2" s="910"/>
      <c r="I2" s="910"/>
      <c r="J2" s="910"/>
      <c r="K2" s="910"/>
      <c r="L2" s="910"/>
      <c r="M2" s="910"/>
      <c r="N2" s="911"/>
    </row>
    <row r="3" spans="1:14" ht="21">
      <c r="A3" s="912">
        <f>'RFPR cover'!C7</f>
        <v>2020</v>
      </c>
      <c r="B3" s="913"/>
      <c r="C3" s="913"/>
      <c r="D3" s="913"/>
      <c r="E3" s="913"/>
      <c r="F3" s="913"/>
      <c r="G3" s="913"/>
      <c r="H3" s="913"/>
      <c r="I3" s="913"/>
      <c r="J3" s="913"/>
      <c r="K3" s="913"/>
      <c r="L3" s="913"/>
      <c r="M3" s="913"/>
      <c r="N3" s="914"/>
    </row>
    <row r="6" spans="1:14">
      <c r="A6" s="30"/>
      <c r="B6" s="21">
        <v>2018</v>
      </c>
      <c r="C6" s="20" t="s">
        <v>63</v>
      </c>
      <c r="D6" s="18"/>
      <c r="E6" s="18"/>
      <c r="F6" s="840"/>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0" t="s">
        <v>39</v>
      </c>
      <c r="C13" s="551" t="s">
        <v>40</v>
      </c>
      <c r="D13" s="551" t="s">
        <v>192</v>
      </c>
      <c r="E13" s="551" t="s">
        <v>41</v>
      </c>
      <c r="F13" s="551" t="s">
        <v>42</v>
      </c>
      <c r="G13" s="552" t="s">
        <v>320</v>
      </c>
    </row>
    <row r="14" spans="1:14">
      <c r="A14" s="30"/>
      <c r="B14" s="161" t="s">
        <v>74</v>
      </c>
      <c r="C14" s="168">
        <v>2010</v>
      </c>
      <c r="D14" s="162" t="str">
        <f>IF(VALUE(C14)&lt;='RFPR cover'!$C$7,"Actual","Forecast")</f>
        <v>Actual</v>
      </c>
      <c r="E14" s="372">
        <v>215.767</v>
      </c>
      <c r="F14" s="497">
        <v>221.75</v>
      </c>
      <c r="G14" s="163">
        <v>0.28000000000000003</v>
      </c>
      <c r="H14" s="841"/>
      <c r="J14" s="842"/>
    </row>
    <row r="15" spans="1:14">
      <c r="A15" s="30"/>
      <c r="B15" s="164" t="s">
        <v>75</v>
      </c>
      <c r="C15" s="169">
        <v>2011</v>
      </c>
      <c r="D15" s="165" t="str">
        <f>IF(VALUE(C15)&lt;='RFPR cover'!$C$7,"Actual","Forecast")</f>
        <v>Actual</v>
      </c>
      <c r="E15" s="373">
        <v>226.47499999999999</v>
      </c>
      <c r="F15" s="498">
        <v>233.45</v>
      </c>
      <c r="G15" s="166">
        <v>0.28000000000000003</v>
      </c>
      <c r="H15" s="841"/>
      <c r="J15" s="842"/>
    </row>
    <row r="16" spans="1:14" ht="14.25" customHeight="1">
      <c r="A16" s="30"/>
      <c r="B16" s="164" t="s">
        <v>76</v>
      </c>
      <c r="C16" s="169">
        <v>2012</v>
      </c>
      <c r="D16" s="165" t="str">
        <f>IF(VALUE(C16)&lt;='RFPR cover'!$C$7,"Actual","Forecast")</f>
        <v>Actual</v>
      </c>
      <c r="E16" s="373">
        <v>237.34200000000001</v>
      </c>
      <c r="F16" s="498">
        <v>241.65</v>
      </c>
      <c r="G16" s="166">
        <v>0.26</v>
      </c>
      <c r="H16" s="841"/>
      <c r="J16" s="842"/>
    </row>
    <row r="17" spans="2:10">
      <c r="B17" s="164" t="s">
        <v>77</v>
      </c>
      <c r="C17" s="169">
        <v>2013</v>
      </c>
      <c r="D17" s="165" t="str">
        <f>IF(VALUE(C17)&lt;='RFPR cover'!$C$7,"Actual","Forecast")</f>
        <v>Actual</v>
      </c>
      <c r="E17" s="373">
        <v>244.67500000000001</v>
      </c>
      <c r="F17" s="498">
        <v>249.1</v>
      </c>
      <c r="G17" s="166">
        <v>0.24</v>
      </c>
      <c r="H17" s="841"/>
      <c r="J17" s="842"/>
    </row>
    <row r="18" spans="2:10">
      <c r="B18" s="164" t="s">
        <v>78</v>
      </c>
      <c r="C18" s="169">
        <v>2014</v>
      </c>
      <c r="D18" s="165" t="str">
        <f>IF(VALUE(C18)&lt;='RFPR cover'!$C$7,"Actual","Forecast")</f>
        <v>Actual</v>
      </c>
      <c r="E18" s="373">
        <v>251.733</v>
      </c>
      <c r="F18" s="498">
        <v>255.25</v>
      </c>
      <c r="G18" s="166">
        <v>0.23</v>
      </c>
      <c r="H18" s="841"/>
      <c r="I18" s="517"/>
      <c r="J18" s="842"/>
    </row>
    <row r="19" spans="2:10">
      <c r="B19" s="164" t="s">
        <v>79</v>
      </c>
      <c r="C19" s="169">
        <v>2015</v>
      </c>
      <c r="D19" s="165" t="str">
        <f>IF(VALUE(C19)&lt;='RFPR cover'!$C$7,"Actual","Forecast")</f>
        <v>Actual</v>
      </c>
      <c r="E19" s="373">
        <v>256.66699999999997</v>
      </c>
      <c r="F19" s="498">
        <v>257.55</v>
      </c>
      <c r="G19" s="166">
        <v>0.21</v>
      </c>
      <c r="H19" s="841"/>
      <c r="I19" s="517"/>
      <c r="J19" s="842"/>
    </row>
    <row r="20" spans="2:10">
      <c r="B20" s="164" t="s">
        <v>80</v>
      </c>
      <c r="C20" s="169">
        <v>2016</v>
      </c>
      <c r="D20" s="165" t="str">
        <f>IF(VALUE(C20)&lt;='RFPR cover'!$C$7,"Actual","Forecast")</f>
        <v>Actual</v>
      </c>
      <c r="E20" s="373">
        <v>259.43299999999999</v>
      </c>
      <c r="F20" s="498">
        <v>261.25</v>
      </c>
      <c r="G20" s="166">
        <v>0.2</v>
      </c>
      <c r="H20" s="841"/>
      <c r="I20" s="517"/>
      <c r="J20" s="842"/>
    </row>
    <row r="21" spans="2:10">
      <c r="B21" s="164" t="s">
        <v>81</v>
      </c>
      <c r="C21" s="169">
        <v>2017</v>
      </c>
      <c r="D21" s="165" t="str">
        <f>IF(VALUE(C21)&lt;='RFPR cover'!$C$7,"Actual","Forecast")</f>
        <v>Actual</v>
      </c>
      <c r="E21" s="373">
        <v>264.99200000000002</v>
      </c>
      <c r="F21" s="498">
        <v>269.95000000000005</v>
      </c>
      <c r="G21" s="166">
        <v>0.2</v>
      </c>
      <c r="H21" s="841"/>
      <c r="I21" s="517"/>
      <c r="J21" s="842"/>
    </row>
    <row r="22" spans="2:10">
      <c r="B22" s="164" t="s">
        <v>63</v>
      </c>
      <c r="C22" s="169">
        <v>2018</v>
      </c>
      <c r="D22" s="165" t="str">
        <f>IF(VALUE(C22)&lt;='RFPR cover'!$C$7,"Actual","Forecast")</f>
        <v>Actual</v>
      </c>
      <c r="E22" s="373">
        <v>274.90800000000002</v>
      </c>
      <c r="F22" s="498">
        <v>279</v>
      </c>
      <c r="G22" s="166">
        <v>0.19</v>
      </c>
      <c r="H22" s="841"/>
      <c r="I22" s="517"/>
      <c r="J22" s="842"/>
    </row>
    <row r="23" spans="2:10">
      <c r="B23" s="500" t="s">
        <v>64</v>
      </c>
      <c r="C23" s="501">
        <v>2019</v>
      </c>
      <c r="D23" s="165" t="str">
        <f>IF(VALUE(C23)&lt;='RFPR cover'!$C$7,"Actual","Forecast")</f>
        <v>Actual</v>
      </c>
      <c r="E23" s="373">
        <v>283.30799999999999</v>
      </c>
      <c r="F23" s="498">
        <v>286.64999999999998</v>
      </c>
      <c r="G23" s="166">
        <v>0.19</v>
      </c>
      <c r="H23" s="841"/>
      <c r="J23" s="842"/>
    </row>
    <row r="24" spans="2:10">
      <c r="B24" s="500" t="s">
        <v>65</v>
      </c>
      <c r="C24" s="501">
        <v>2020</v>
      </c>
      <c r="D24" s="165" t="str">
        <f>IF(VALUE(C24)&lt;='RFPR cover'!$C$7,"Actual","Forecast")</f>
        <v>Actual</v>
      </c>
      <c r="E24" s="373">
        <v>290.642</v>
      </c>
      <c r="F24" s="498">
        <v>292.60000000000002</v>
      </c>
      <c r="G24" s="166">
        <v>0.19</v>
      </c>
      <c r="H24" s="841"/>
      <c r="J24" s="842"/>
    </row>
    <row r="25" spans="2:10">
      <c r="B25" s="500" t="s">
        <v>66</v>
      </c>
      <c r="C25" s="501">
        <v>2021</v>
      </c>
      <c r="D25" s="165" t="str">
        <f>IF(VALUE(C25)&lt;='RFPR cover'!$C$7,"Actual","Forecast")</f>
        <v>Forecast</v>
      </c>
      <c r="E25" s="499">
        <f t="shared" ref="E25:F27" si="0">E24*(1+INDEX($D$43:$J$43,0,MATCH($C25,$D$42:$J$42,0)))</f>
        <v>295.58291399999996</v>
      </c>
      <c r="F25" s="499">
        <f t="shared" si="0"/>
        <v>297.57420000000002</v>
      </c>
      <c r="G25" s="166">
        <v>0.19</v>
      </c>
      <c r="H25" s="841"/>
      <c r="J25" s="842"/>
    </row>
    <row r="26" spans="2:10">
      <c r="B26" s="500" t="s">
        <v>67</v>
      </c>
      <c r="C26" s="501">
        <v>2022</v>
      </c>
      <c r="D26" s="165" t="str">
        <f>IF(VALUE(C26)&lt;='RFPR cover'!$C$7,"Actual","Forecast")</f>
        <v>Forecast</v>
      </c>
      <c r="E26" s="499">
        <f t="shared" si="0"/>
        <v>301.86405092249998</v>
      </c>
      <c r="F26" s="499">
        <f t="shared" si="0"/>
        <v>303.89765175000002</v>
      </c>
      <c r="G26" s="166">
        <v>0.19</v>
      </c>
      <c r="H26" s="841"/>
      <c r="J26" s="842"/>
    </row>
    <row r="27" spans="2:10">
      <c r="B27" s="500" t="s">
        <v>68</v>
      </c>
      <c r="C27" s="501">
        <v>2023</v>
      </c>
      <c r="D27" s="165" t="str">
        <f>IF(VALUE(C27)&lt;='RFPR cover'!$C$7,"Actual","Forecast")</f>
        <v>Forecast</v>
      </c>
      <c r="E27" s="499">
        <f t="shared" si="0"/>
        <v>309.63705023375434</v>
      </c>
      <c r="F27" s="499">
        <f t="shared" si="0"/>
        <v>311.72301628256253</v>
      </c>
      <c r="G27" s="166">
        <v>0.19</v>
      </c>
      <c r="H27" s="841"/>
      <c r="J27" s="842"/>
    </row>
    <row r="28" spans="2:10">
      <c r="B28" s="500" t="s">
        <v>205</v>
      </c>
      <c r="C28" s="501">
        <v>2024</v>
      </c>
      <c r="D28" s="165" t="str">
        <f>IF(VALUE(C28)&lt;='RFPR cover'!$C$7,"Actual","Forecast")</f>
        <v>Forecast</v>
      </c>
      <c r="E28" s="375"/>
      <c r="F28" s="375"/>
      <c r="G28" s="166">
        <v>0.19</v>
      </c>
    </row>
    <row r="29" spans="2:10">
      <c r="B29" s="500" t="s">
        <v>206</v>
      </c>
      <c r="C29" s="501">
        <v>2025</v>
      </c>
      <c r="D29" s="165" t="str">
        <f>IF(VALUE(C29)&lt;='RFPR cover'!$C$7,"Actual","Forecast")</f>
        <v>Forecast</v>
      </c>
      <c r="E29" s="375"/>
      <c r="F29" s="375"/>
      <c r="G29" s="166">
        <v>0.19</v>
      </c>
    </row>
    <row r="30" spans="2:10">
      <c r="B30" s="502" t="s">
        <v>207</v>
      </c>
      <c r="C30" s="503">
        <v>2026</v>
      </c>
      <c r="D30" s="167" t="str">
        <f>IF(VALUE(C30)&lt;='RFPR cover'!$C$7,"Actual","Forecast")</f>
        <v>Forecast</v>
      </c>
      <c r="E30" s="374"/>
      <c r="F30" s="374"/>
      <c r="G30" s="166">
        <v>0.19</v>
      </c>
    </row>
    <row r="31" spans="2:10">
      <c r="B31" s="87"/>
      <c r="C31" s="67"/>
      <c r="D31" s="67"/>
      <c r="E31" s="67"/>
      <c r="F31" s="67"/>
    </row>
    <row r="32" spans="2:10">
      <c r="B32" s="87"/>
      <c r="C32" s="342" t="str">
        <f>IF(C33&lt;='RFPR cover'!$C$7,"Actuals","Forecast")</f>
        <v>Actuals</v>
      </c>
      <c r="D32" s="343" t="str">
        <f>IF(D33&lt;='RFPR cover'!$C$7,"Actuals","Forecast")</f>
        <v>Actuals</v>
      </c>
      <c r="E32" s="343" t="str">
        <f>IF(E33&lt;='RFPR cover'!$C$7,"Actuals","Forecast")</f>
        <v>Actuals</v>
      </c>
      <c r="F32" s="343" t="str">
        <f>IF(F33&lt;='RFPR cover'!$C$7,"Actuals","Forecast")</f>
        <v>Actuals</v>
      </c>
      <c r="G32" s="343" t="str">
        <f>IF(G33&lt;='RFPR cover'!$C$7,"Actuals","Forecast")</f>
        <v>Actuals</v>
      </c>
      <c r="H32" s="343" t="str">
        <f>IF(H33&lt;='RFPR cover'!$C$7,"Actuals","Forecast")</f>
        <v>Forecast</v>
      </c>
      <c r="I32" s="343" t="str">
        <f>IF(I33&lt;='RFPR cover'!$C$7,"Actuals","Forecast")</f>
        <v>Forecast</v>
      </c>
      <c r="J32" s="344" t="str">
        <f>IF(J33&lt;='RFPR cover'!$C$7,"Actuals","Forecast")</f>
        <v>Forecast</v>
      </c>
    </row>
    <row r="33" spans="2:13" ht="15.75" customHeight="1">
      <c r="B33" s="288"/>
      <c r="C33" s="89">
        <f>'RFPR cover'!$C$13</f>
        <v>2016</v>
      </c>
      <c r="D33" s="90">
        <f t="shared" ref="D33:J33" si="1">C33+1</f>
        <v>2017</v>
      </c>
      <c r="E33" s="90">
        <f t="shared" si="1"/>
        <v>2018</v>
      </c>
      <c r="F33" s="90">
        <f t="shared" si="1"/>
        <v>2019</v>
      </c>
      <c r="G33" s="90">
        <f t="shared" si="1"/>
        <v>2020</v>
      </c>
      <c r="H33" s="90">
        <f t="shared" si="1"/>
        <v>2021</v>
      </c>
      <c r="I33" s="90">
        <f t="shared" si="1"/>
        <v>2022</v>
      </c>
      <c r="J33" s="315">
        <f t="shared" si="1"/>
        <v>2023</v>
      </c>
    </row>
    <row r="34" spans="2:13" ht="15.75" customHeight="1">
      <c r="B34" s="495" t="s">
        <v>375</v>
      </c>
      <c r="C34" s="493">
        <f>INDEX(Data!$E$14:$E$30,MATCH(C$33,Data!$C$14:$C$30,0),0)/IF('RFPR cover'!$C$6="ED1",Data!$E$17,Data!$E$14)</f>
        <v>1.0603167467048125</v>
      </c>
      <c r="D34" s="490">
        <f>INDEX(Data!$E$14:$E$30,MATCH(D$33,Data!$C$14:$C$30,0),0)/IF('RFPR cover'!$C$6="ED1",Data!$E$17,Data!$E$14)</f>
        <v>1.0830366813119445</v>
      </c>
      <c r="E34" s="490">
        <f>INDEX(Data!$E$14:$E$30,MATCH(E$33,Data!$C$14:$C$30,0),0)/IF('RFPR cover'!$C$6="ED1",Data!$E$17,Data!$E$14)</f>
        <v>1.1235639113109226</v>
      </c>
      <c r="F34" s="490">
        <f>INDEX(Data!$E$14:$E$30,MATCH(F$33,Data!$C$14:$C$30,0),0)/IF('RFPR cover'!$C$6="ED1",Data!$E$17,Data!$E$14)</f>
        <v>1.1578951670583426</v>
      </c>
      <c r="G34" s="490">
        <f>INDEX(Data!$E$14:$E$30,MATCH(G$33,Data!$C$14:$C$30,0),0)/IF('RFPR cover'!$C$6="ED1",Data!$E$17,Data!$E$14)</f>
        <v>1.1878696229692449</v>
      </c>
      <c r="H34" s="490">
        <f>INDEX(Data!$E$14:$E$30,MATCH(H$33,Data!$C$14:$C$30,0),0)/IF('RFPR cover'!$C$6="ED1",Data!$E$17,Data!$E$14)</f>
        <v>1.2080634065597218</v>
      </c>
      <c r="I34" s="491">
        <f>INDEX(Data!$E$14:$E$30,MATCH(I$33,Data!$C$14:$C$30,0),0)/IF('RFPR cover'!$C$6="ED1",Data!$E$17,Data!$E$14)</f>
        <v>1.2337347539491161</v>
      </c>
      <c r="J34" s="492">
        <f>INDEX(Data!$E$14:$E$30,MATCH(J$33,Data!$C$14:$C$30,0),0)/IF('RFPR cover'!$C$6="ED1",Data!$E$17,Data!$E$14)</f>
        <v>1.2655034238633056</v>
      </c>
    </row>
    <row r="35" spans="2:13" ht="15.75" customHeight="1">
      <c r="B35" s="496" t="s">
        <v>42</v>
      </c>
      <c r="C35" s="494">
        <f>INDEX(Data!$F$14:$F$30,MATCH(C$33,Data!$C$14:$C$30,0),0)/IF('RFPR cover'!$C$6="ED1",Data!$E$17,Data!$E$14)</f>
        <v>1.0677429242873198</v>
      </c>
      <c r="D35" s="494">
        <f>INDEX(Data!$F$14:$F$30,MATCH(D$33,Data!$C$14:$C$30,0),0)/IF('RFPR cover'!$C$6="ED1",Data!$E$17,Data!$E$14)</f>
        <v>1.1033002963114336</v>
      </c>
      <c r="E35" s="494">
        <f>INDEX(Data!$F$14:$F$30,MATCH(E$33,Data!$C$14:$C$30,0),0)/IF('RFPR cover'!$C$6="ED1",Data!$E$17,Data!$E$14)</f>
        <v>1.1402881373250229</v>
      </c>
      <c r="F35" s="494">
        <f>INDEX(Data!$F$14:$F$30,MATCH(F$33,Data!$C$14:$C$30,0),0)/IF('RFPR cover'!$C$6="ED1",Data!$E$17,Data!$E$14)</f>
        <v>1.171554102380709</v>
      </c>
      <c r="G35" s="494">
        <f>INDEX(Data!$F$14:$F$30,MATCH(G$33,Data!$C$14:$C$30,0),0)/IF('RFPR cover'!$C$6="ED1",Data!$E$17,Data!$E$14)</f>
        <v>1.1958720752017984</v>
      </c>
      <c r="H35" s="494">
        <f>INDEX(Data!$F$14:$F$30,MATCH(H$33,Data!$C$14:$C$30,0),0)/IF('RFPR cover'!$C$6="ED1",Data!$E$17,Data!$E$14)</f>
        <v>1.2162019004802289</v>
      </c>
      <c r="I35" s="494">
        <f>INDEX(Data!$F$14:$F$30,MATCH(I$33,Data!$C$14:$C$30,0),0)/IF('RFPR cover'!$C$6="ED1",Data!$E$17,Data!$E$14)</f>
        <v>1.2420461908654337</v>
      </c>
      <c r="J35" s="494">
        <f>INDEX(Data!$F$14:$F$30,MATCH(J$33,Data!$C$14:$C$30,0),0)/IF('RFPR cover'!$C$6="ED1",Data!$E$17,Data!$E$14)</f>
        <v>1.2740288802802187</v>
      </c>
    </row>
    <row r="36" spans="2:13">
      <c r="B36" s="496" t="s">
        <v>505</v>
      </c>
      <c r="C36" s="494">
        <f>INDEX(Data!$E$14:$E$30,MATCH(C$33,Data!$C$14:$C$30,0))/INDEX(Data!$E$14:$E$30,MATCH(C$33-1,Data!$C$14:$C$30,0))</f>
        <v>1.0107766093810269</v>
      </c>
      <c r="D36" s="494">
        <f>INDEX(Data!$E$14:$E$30,MATCH(D$33,Data!$C$14:$C$30,0))/INDEX(Data!$E$14:$E$30,MATCH(D$33-1,Data!$C$14:$C$30,0))</f>
        <v>1.0214274976583551</v>
      </c>
      <c r="E36" s="494">
        <f>INDEX(Data!$E$14:$E$30,MATCH(E$33,Data!$C$14:$C$30,0))/INDEX(Data!$E$14:$E$30,MATCH(E$33-1,Data!$C$14:$C$30,0))</f>
        <v>1.0374199975848328</v>
      </c>
      <c r="F36" s="494">
        <f>INDEX(Data!$E$14:$E$30,MATCH(F$33,Data!$C$14:$C$30,0))/INDEX(Data!$E$14:$E$30,MATCH(F$33-1,Data!$C$14:$C$30,0))</f>
        <v>1.0305556768082411</v>
      </c>
      <c r="G36" s="494">
        <f>INDEX(Data!$E$14:$E$30,MATCH(G$33,Data!$C$14:$C$30,0))/INDEX(Data!$E$14:$E$30,MATCH(G$33-1,Data!$C$14:$C$30,0))</f>
        <v>1.0258870204865376</v>
      </c>
      <c r="H36" s="494">
        <f>INDEX(Data!$E$14:$E$30,MATCH(H$33,Data!$C$14:$C$30,0))/INDEX(Data!$E$14:$E$30,MATCH(H$33-1,Data!$C$14:$C$30,0))</f>
        <v>1.0169999999999999</v>
      </c>
      <c r="I36" s="494">
        <f>INDEX(Data!$E$14:$E$30,MATCH(I$33,Data!$C$14:$C$30,0))/INDEX(Data!$E$14:$E$30,MATCH(I$33-1,Data!$C$14:$C$30,0))</f>
        <v>1.02125</v>
      </c>
      <c r="J36" s="494">
        <f>INDEX(Data!$E$14:$E$30,MATCH(J$33,Data!$C$14:$C$30,0))/INDEX(Data!$E$14:$E$30,MATCH(J$33-1,Data!$C$14:$C$30,0))</f>
        <v>1.0257499999999999</v>
      </c>
    </row>
    <row r="37" spans="2:13" ht="15.75" customHeight="1">
      <c r="B37" s="14" t="s">
        <v>275</v>
      </c>
      <c r="F37" s="517"/>
    </row>
    <row r="38" spans="2:13">
      <c r="C38" s="510" t="s">
        <v>276</v>
      </c>
      <c r="D38" s="116">
        <v>2017</v>
      </c>
      <c r="E38" s="117">
        <f t="shared" ref="E38:J38" si="2">D38+1</f>
        <v>2018</v>
      </c>
      <c r="F38" s="117">
        <f t="shared" si="2"/>
        <v>2019</v>
      </c>
      <c r="G38" s="117">
        <f t="shared" si="2"/>
        <v>2020</v>
      </c>
      <c r="H38" s="117">
        <f t="shared" si="2"/>
        <v>2021</v>
      </c>
      <c r="I38" s="117">
        <f t="shared" si="2"/>
        <v>2022</v>
      </c>
      <c r="J38" s="194">
        <f t="shared" si="2"/>
        <v>2023</v>
      </c>
      <c r="K38" s="983" t="s">
        <v>385</v>
      </c>
      <c r="L38" s="983"/>
      <c r="M38" s="983"/>
    </row>
    <row r="39" spans="2:13">
      <c r="B39" t="s">
        <v>386</v>
      </c>
      <c r="C39" s="199"/>
      <c r="D39" s="759"/>
      <c r="E39" s="759"/>
      <c r="F39" s="759"/>
      <c r="G39" s="760">
        <v>1.6E-2</v>
      </c>
      <c r="H39" s="760">
        <v>0.02</v>
      </c>
      <c r="I39" s="760">
        <v>2.5000000000000001E-2</v>
      </c>
      <c r="J39" s="761">
        <v>2.8000000000000001E-2</v>
      </c>
      <c r="K39" s="984" t="s">
        <v>634</v>
      </c>
      <c r="L39" s="984"/>
      <c r="M39" s="984"/>
    </row>
    <row r="41" spans="2:13">
      <c r="B41" s="14" t="s">
        <v>277</v>
      </c>
    </row>
    <row r="42" spans="2:13">
      <c r="C42" s="509" t="s">
        <v>278</v>
      </c>
      <c r="D42" s="116">
        <v>2017</v>
      </c>
      <c r="E42" s="117">
        <f t="shared" ref="E42:J42" si="3">D42+1</f>
        <v>2018</v>
      </c>
      <c r="F42" s="117">
        <f t="shared" si="3"/>
        <v>2019</v>
      </c>
      <c r="G42" s="117">
        <f t="shared" si="3"/>
        <v>2020</v>
      </c>
      <c r="H42" s="117">
        <f t="shared" si="3"/>
        <v>2021</v>
      </c>
      <c r="I42" s="117">
        <f t="shared" si="3"/>
        <v>2022</v>
      </c>
      <c r="J42" s="194">
        <f t="shared" si="3"/>
        <v>2023</v>
      </c>
    </row>
    <row r="43" spans="2:13">
      <c r="B43" t="s">
        <v>279</v>
      </c>
      <c r="D43" s="569"/>
      <c r="E43" s="570"/>
      <c r="F43" s="570"/>
      <c r="G43" s="570"/>
      <c r="H43" s="762">
        <f>(G39*0.75)+(H39*0.25)</f>
        <v>1.7000000000000001E-2</v>
      </c>
      <c r="I43" s="762">
        <f>(H39*0.75)+(I39*0.25)</f>
        <v>2.1249999999999998E-2</v>
      </c>
      <c r="J43" s="763">
        <f>(I39*0.75)+(J39*0.25)</f>
        <v>2.5750000000000002E-2</v>
      </c>
    </row>
    <row r="45" spans="2:13">
      <c r="B45" s="314" t="str">
        <f>"Selected Capitalisation rates for "&amp;'RFPR cover'!C5</f>
        <v>Selected Capitalisation rates for WPD-SWEST</v>
      </c>
      <c r="C45" s="270"/>
      <c r="D45" s="270"/>
      <c r="E45" s="270"/>
      <c r="F45" s="270"/>
      <c r="G45" s="270"/>
      <c r="H45" s="270"/>
      <c r="I45" s="270"/>
      <c r="J45" s="270"/>
      <c r="K45" s="270"/>
      <c r="L45" s="270"/>
      <c r="M45" s="283"/>
    </row>
    <row r="46" spans="2:13">
      <c r="B46" s="200"/>
      <c r="C46" s="42"/>
      <c r="D46" s="42"/>
      <c r="E46" s="42"/>
      <c r="F46" s="42"/>
      <c r="G46" s="42"/>
      <c r="H46" s="42"/>
      <c r="I46" s="42"/>
      <c r="J46" s="42"/>
      <c r="K46" s="42"/>
      <c r="L46" s="42"/>
      <c r="M46" s="201"/>
    </row>
    <row r="47" spans="2:13">
      <c r="B47" s="200"/>
      <c r="C47" s="313" t="s">
        <v>252</v>
      </c>
      <c r="D47" s="42"/>
      <c r="E47" s="42"/>
      <c r="F47" s="42"/>
      <c r="G47" s="42"/>
      <c r="H47" s="42"/>
      <c r="I47" s="42"/>
      <c r="J47" s="42"/>
      <c r="K47" s="42"/>
      <c r="L47" s="42"/>
      <c r="M47" s="201"/>
    </row>
    <row r="48" spans="2:13">
      <c r="B48" s="316" t="str">
        <f>INDEX($G$54:$G$57,MATCH(LEFT('RFPR cover'!$C$6,2),Data!$E$54:$E$57,0),0)</f>
        <v>Totex</v>
      </c>
      <c r="C48" s="312">
        <f>INDEX($F$73:$F$100,MATCH('RFPR cover'!$C$5,Data!$B$73:$B$100,0),0)</f>
        <v>0.8</v>
      </c>
      <c r="D48" s="42"/>
      <c r="E48" s="42"/>
      <c r="F48" s="42"/>
      <c r="G48" s="42"/>
      <c r="H48" s="42"/>
      <c r="I48" s="42"/>
      <c r="J48" s="42"/>
      <c r="K48" s="42"/>
      <c r="L48" s="42"/>
      <c r="M48" s="201"/>
    </row>
    <row r="49" spans="2:20">
      <c r="B49" s="317"/>
      <c r="C49" s="42"/>
      <c r="D49" s="42"/>
      <c r="E49" s="42"/>
      <c r="F49" s="42"/>
      <c r="G49" s="42"/>
      <c r="H49" s="42"/>
      <c r="I49" s="42"/>
      <c r="J49" s="42"/>
      <c r="K49" s="42"/>
      <c r="L49" s="42"/>
      <c r="M49" s="201"/>
    </row>
    <row r="50" spans="2:20">
      <c r="B50" s="317"/>
      <c r="C50" s="89">
        <v>2014</v>
      </c>
      <c r="D50" s="90">
        <f t="shared" ref="D50:J50" si="4">C50+1</f>
        <v>2015</v>
      </c>
      <c r="E50" s="90">
        <f t="shared" si="4"/>
        <v>2016</v>
      </c>
      <c r="F50" s="90">
        <f t="shared" si="4"/>
        <v>2017</v>
      </c>
      <c r="G50" s="90">
        <f t="shared" si="4"/>
        <v>2018</v>
      </c>
      <c r="H50" s="90">
        <f t="shared" si="4"/>
        <v>2019</v>
      </c>
      <c r="I50" s="90">
        <f t="shared" si="4"/>
        <v>2020</v>
      </c>
      <c r="J50" s="90">
        <f t="shared" si="4"/>
        <v>2021</v>
      </c>
      <c r="K50" s="42"/>
      <c r="L50" s="42"/>
      <c r="M50" s="201"/>
    </row>
    <row r="51" spans="2:20">
      <c r="B51" s="316" t="str">
        <f>INDEX($J$54:$J$57,MATCH(LEFT('RFPR cover'!$C$6,2),Data!$E$54:$E$57,0),0)</f>
        <v>n/a</v>
      </c>
      <c r="C51" s="318">
        <f>IFERROR(INDEX(C$106:C$115,MATCH('RFPR cover'!$C$5,Data!$B$106:$B$115,0),0),0)</f>
        <v>0</v>
      </c>
      <c r="D51" s="300">
        <f>IFERROR(INDEX(D$106:D$115,MATCH('RFPR cover'!$C$5,Data!$B$106:$B$115,0),0),0)</f>
        <v>0</v>
      </c>
      <c r="E51" s="300">
        <f>IFERROR(INDEX(E$106:E$115,MATCH('RFPR cover'!$C$5,Data!$B$106:$B$115,0),0),0)</f>
        <v>0</v>
      </c>
      <c r="F51" s="300">
        <f>IFERROR(INDEX(F$106:F$115,MATCH('RFPR cover'!$C$5,Data!$B$106:$B$115,0),0),0)</f>
        <v>0</v>
      </c>
      <c r="G51" s="300">
        <f>IFERROR(INDEX(G$106:G$115,MATCH('RFPR cover'!$C$5,Data!$B$106:$B$115,0),0),0)</f>
        <v>0</v>
      </c>
      <c r="H51" s="300">
        <f>IFERROR(INDEX(H$106:H$115,MATCH('RFPR cover'!$C$5,Data!$B$106:$B$115,0),0),0)</f>
        <v>0</v>
      </c>
      <c r="I51" s="300">
        <f>IFERROR(INDEX(I$106:I$115,MATCH('RFPR cover'!$C$5,Data!$B$106:$B$115,0),0),0)</f>
        <v>0</v>
      </c>
      <c r="J51" s="300">
        <f>IFERROR(INDEX(J$106:J$115,MATCH('RFPR cover'!$C$5,Data!$B$106:$B$115,0),0),0)</f>
        <v>0</v>
      </c>
      <c r="K51" s="42"/>
      <c r="L51" s="42"/>
      <c r="M51" s="201"/>
    </row>
    <row r="52" spans="2:20">
      <c r="B52" s="294"/>
      <c r="C52" s="295"/>
      <c r="D52" s="295"/>
      <c r="E52" s="295"/>
      <c r="F52" s="295"/>
      <c r="G52" s="295"/>
      <c r="H52" s="295"/>
      <c r="I52" s="295"/>
      <c r="J52" s="295"/>
      <c r="K52" s="295"/>
      <c r="L52" s="295"/>
      <c r="M52" s="296"/>
    </row>
    <row r="53" spans="2:20">
      <c r="B53" s="42"/>
      <c r="C53" s="42"/>
      <c r="D53" s="42"/>
      <c r="E53" s="42"/>
      <c r="F53" s="42"/>
      <c r="G53" s="42"/>
      <c r="H53" s="42"/>
      <c r="I53" s="42"/>
      <c r="J53" s="42"/>
      <c r="K53" s="42"/>
    </row>
    <row r="54" spans="2:20">
      <c r="B54" s="304"/>
      <c r="C54" s="304"/>
      <c r="E54" s="301" t="s">
        <v>172</v>
      </c>
      <c r="F54" s="330" t="s">
        <v>159</v>
      </c>
      <c r="G54" s="988" t="s">
        <v>253</v>
      </c>
      <c r="H54" s="989"/>
      <c r="I54" s="990"/>
      <c r="J54" s="997" t="s">
        <v>255</v>
      </c>
      <c r="K54" s="998"/>
    </row>
    <row r="55" spans="2:20">
      <c r="B55" s="304"/>
      <c r="C55" s="304"/>
      <c r="E55" s="302" t="s">
        <v>174</v>
      </c>
      <c r="F55" s="331" t="s">
        <v>184</v>
      </c>
      <c r="G55" s="991" t="s">
        <v>253</v>
      </c>
      <c r="H55" s="992"/>
      <c r="I55" s="993"/>
      <c r="J55" s="999" t="s">
        <v>255</v>
      </c>
      <c r="K55" s="1000"/>
    </row>
    <row r="56" spans="2:20">
      <c r="B56" s="304"/>
      <c r="C56" s="304"/>
      <c r="E56" s="302" t="s">
        <v>173</v>
      </c>
      <c r="F56" s="331" t="s">
        <v>184</v>
      </c>
      <c r="G56" s="991" t="s">
        <v>244</v>
      </c>
      <c r="H56" s="992"/>
      <c r="I56" s="993"/>
      <c r="J56" s="999" t="s">
        <v>245</v>
      </c>
      <c r="K56" s="1000"/>
    </row>
    <row r="57" spans="2:20">
      <c r="B57" s="304"/>
      <c r="C57" s="304"/>
      <c r="E57" s="303" t="s">
        <v>175</v>
      </c>
      <c r="F57" s="332" t="s">
        <v>184</v>
      </c>
      <c r="G57" s="994" t="s">
        <v>254</v>
      </c>
      <c r="H57" s="995"/>
      <c r="I57" s="996"/>
      <c r="J57" s="1001" t="s">
        <v>256</v>
      </c>
      <c r="K57" s="1002"/>
    </row>
    <row r="58" spans="2:20">
      <c r="B58" s="304"/>
      <c r="C58" s="304"/>
      <c r="E58" s="304"/>
      <c r="F58" s="444"/>
      <c r="G58" s="445"/>
      <c r="H58" s="445"/>
      <c r="I58" s="445"/>
      <c r="J58" s="446"/>
      <c r="K58" s="446"/>
    </row>
    <row r="59" spans="2:20">
      <c r="B59" s="447"/>
      <c r="C59" s="447"/>
      <c r="D59" s="216"/>
      <c r="E59" s="447"/>
      <c r="F59" s="448"/>
      <c r="G59" s="449"/>
      <c r="H59" s="449"/>
      <c r="I59" s="449"/>
      <c r="J59" s="450"/>
      <c r="K59" s="450"/>
      <c r="L59" s="216"/>
      <c r="M59" s="216"/>
      <c r="N59" s="216"/>
      <c r="O59" s="216"/>
      <c r="P59" s="216"/>
      <c r="Q59" s="216"/>
      <c r="R59" s="216"/>
      <c r="S59" s="216"/>
      <c r="T59" s="216"/>
    </row>
    <row r="60" spans="2:20" s="31" customFormat="1">
      <c r="B60" s="398"/>
      <c r="C60" s="398"/>
      <c r="E60" s="398"/>
      <c r="F60" s="451"/>
      <c r="G60" s="452"/>
      <c r="H60" s="452"/>
      <c r="I60" s="452"/>
      <c r="J60" s="453"/>
      <c r="K60" s="453"/>
    </row>
    <row r="61" spans="2:20">
      <c r="B61" s="443" t="s">
        <v>351</v>
      </c>
      <c r="I61" s="67"/>
    </row>
    <row r="62" spans="2:20">
      <c r="C62" s="116">
        <v>2014</v>
      </c>
      <c r="D62" s="117">
        <f t="shared" ref="D62:L62" si="5">C62+1</f>
        <v>2015</v>
      </c>
      <c r="E62" s="117">
        <f t="shared" si="5"/>
        <v>2016</v>
      </c>
      <c r="F62" s="117">
        <f t="shared" si="5"/>
        <v>2017</v>
      </c>
      <c r="G62" s="117">
        <f t="shared" si="5"/>
        <v>2018</v>
      </c>
      <c r="H62" s="117">
        <f t="shared" si="5"/>
        <v>2019</v>
      </c>
      <c r="I62" s="117">
        <f t="shared" si="5"/>
        <v>2020</v>
      </c>
      <c r="J62" s="117">
        <f t="shared" si="5"/>
        <v>2021</v>
      </c>
      <c r="K62" s="117">
        <f t="shared" si="5"/>
        <v>2022</v>
      </c>
      <c r="L62" s="194">
        <f t="shared" si="5"/>
        <v>2023</v>
      </c>
    </row>
    <row r="63" spans="2:20">
      <c r="B63" s="440" t="s">
        <v>349</v>
      </c>
      <c r="C63" s="565"/>
      <c r="D63" s="566"/>
      <c r="E63" s="438">
        <v>2.5499999999999998E-2</v>
      </c>
      <c r="F63" s="438">
        <v>2.3799999999999998E-2</v>
      </c>
      <c r="G63" s="438">
        <v>2.2200000000000001E-2</v>
      </c>
      <c r="H63" s="438">
        <v>1.9099999999999999E-2</v>
      </c>
      <c r="I63" s="438">
        <v>1.5800000000000002E-2</v>
      </c>
      <c r="J63" s="438">
        <v>1.09E-2</v>
      </c>
      <c r="K63" s="438">
        <v>7.7000000000000002E-3</v>
      </c>
      <c r="L63" s="439">
        <v>4.5999999999999999E-3</v>
      </c>
    </row>
    <row r="64" spans="2:20">
      <c r="B64" s="441" t="s">
        <v>336</v>
      </c>
      <c r="C64" s="553"/>
      <c r="D64" s="554"/>
      <c r="E64" s="400">
        <v>2.5499999999999998E-2</v>
      </c>
      <c r="F64" s="400">
        <v>2.4199999999999999E-2</v>
      </c>
      <c r="G64" s="400">
        <v>2.29E-2</v>
      </c>
      <c r="H64" s="400">
        <v>2.0899999999999998E-2</v>
      </c>
      <c r="I64" s="400">
        <v>1.9400000000000001E-2</v>
      </c>
      <c r="J64" s="400">
        <v>1.78E-2</v>
      </c>
      <c r="K64" s="400">
        <v>1.6299999999999999E-2</v>
      </c>
      <c r="L64" s="403">
        <v>1.4800000000000001E-2</v>
      </c>
    </row>
    <row r="65" spans="1:20">
      <c r="B65" s="441" t="s">
        <v>61</v>
      </c>
      <c r="C65" s="399">
        <v>2.92E-2</v>
      </c>
      <c r="D65" s="400">
        <v>2.5000000000000001E-2</v>
      </c>
      <c r="E65" s="400">
        <v>2.1499999999999998E-2</v>
      </c>
      <c r="F65" s="400">
        <v>1.7899999999999999E-2</v>
      </c>
      <c r="G65" s="400">
        <v>1.5100000000000001E-2</v>
      </c>
      <c r="H65" s="400">
        <v>1.1599999999999999E-2</v>
      </c>
      <c r="I65" s="400">
        <v>1.0200000000000001E-2</v>
      </c>
      <c r="J65" s="400">
        <v>8.3000000000000001E-3</v>
      </c>
      <c r="K65" s="567"/>
      <c r="L65" s="568"/>
    </row>
    <row r="66" spans="1:20">
      <c r="B66" s="441" t="s">
        <v>350</v>
      </c>
      <c r="C66" s="436">
        <v>2.92E-2</v>
      </c>
      <c r="D66" s="437">
        <v>2.7199999999999998E-2</v>
      </c>
      <c r="E66" s="437">
        <v>2.5499999999999998E-2</v>
      </c>
      <c r="F66" s="437">
        <v>2.3800000000000002E-2</v>
      </c>
      <c r="G66" s="437">
        <v>2.2200000000000001E-2</v>
      </c>
      <c r="H66" s="437">
        <v>1.9099999999999999E-2</v>
      </c>
      <c r="I66" s="437">
        <v>1.5800000000000002E-2</v>
      </c>
      <c r="J66" s="437">
        <v>1.09E-2</v>
      </c>
      <c r="K66" s="554"/>
      <c r="L66" s="555"/>
    </row>
    <row r="67" spans="1:20">
      <c r="B67" s="441" t="s">
        <v>173</v>
      </c>
      <c r="C67" s="399">
        <v>2.92E-2</v>
      </c>
      <c r="D67" s="400">
        <v>2.7199999999999998E-2</v>
      </c>
      <c r="E67" s="400">
        <v>2.5499999999999998E-2</v>
      </c>
      <c r="F67" s="400">
        <v>2.3800000000000002E-2</v>
      </c>
      <c r="G67" s="400">
        <v>2.2200000000000001E-2</v>
      </c>
      <c r="H67" s="437">
        <v>1.9099999999999999E-2</v>
      </c>
      <c r="I67" s="437">
        <v>1.5800000000000002E-2</v>
      </c>
      <c r="J67" s="437">
        <v>1.09E-2</v>
      </c>
      <c r="K67" s="554"/>
      <c r="L67" s="555"/>
    </row>
    <row r="68" spans="1:20">
      <c r="B68" s="442" t="s">
        <v>175</v>
      </c>
      <c r="C68" s="401">
        <v>2.92E-2</v>
      </c>
      <c r="D68" s="402">
        <v>2.7199999999999998E-2</v>
      </c>
      <c r="E68" s="402">
        <v>2.5499999999999998E-2</v>
      </c>
      <c r="F68" s="402">
        <v>2.3800000000000002E-2</v>
      </c>
      <c r="G68" s="402">
        <v>2.2200000000000001E-2</v>
      </c>
      <c r="H68" s="402">
        <v>1.9099999999999999E-2</v>
      </c>
      <c r="I68" s="402">
        <v>1.5800000000000002E-2</v>
      </c>
      <c r="J68" s="402">
        <v>1.09E-2</v>
      </c>
      <c r="K68" s="556"/>
      <c r="L68" s="557"/>
    </row>
    <row r="69" spans="1:20">
      <c r="I69" s="67"/>
    </row>
    <row r="70" spans="1:20">
      <c r="H70" s="67"/>
      <c r="K70" s="42"/>
      <c r="L70" s="42"/>
      <c r="M70" s="42"/>
      <c r="N70" s="42"/>
      <c r="O70" s="42"/>
      <c r="P70" s="42"/>
      <c r="Q70" s="42"/>
      <c r="R70" s="42"/>
      <c r="S70" s="42"/>
      <c r="T70" s="42"/>
    </row>
    <row r="71" spans="1:20" ht="37.799999999999997">
      <c r="B71" s="22"/>
      <c r="C71" s="74" t="s">
        <v>251</v>
      </c>
      <c r="D71" s="75" t="s">
        <v>212</v>
      </c>
      <c r="E71" s="75" t="s">
        <v>72</v>
      </c>
      <c r="F71" s="75" t="s">
        <v>274</v>
      </c>
      <c r="G71" s="75" t="s">
        <v>116</v>
      </c>
      <c r="H71" s="76" t="s">
        <v>186</v>
      </c>
      <c r="I71" s="329" t="s">
        <v>269</v>
      </c>
      <c r="J71" s="329" t="s">
        <v>482</v>
      </c>
      <c r="K71" s="985" t="s">
        <v>345</v>
      </c>
      <c r="L71" s="986"/>
      <c r="M71" s="986"/>
      <c r="N71" s="986"/>
      <c r="O71" s="986"/>
      <c r="P71" s="986"/>
      <c r="Q71" s="986"/>
      <c r="R71" s="986"/>
      <c r="S71" s="986"/>
      <c r="T71" s="987"/>
    </row>
    <row r="72" spans="1:20">
      <c r="A72" s="333" t="s">
        <v>189</v>
      </c>
      <c r="B72" s="68" t="s">
        <v>69</v>
      </c>
      <c r="C72" s="305"/>
      <c r="D72" s="70"/>
      <c r="E72" s="69"/>
      <c r="F72" s="69"/>
      <c r="G72" s="70"/>
      <c r="H72" s="71"/>
      <c r="I72" s="71"/>
      <c r="J72" s="423"/>
      <c r="K72" s="424">
        <v>2014</v>
      </c>
      <c r="L72" s="425">
        <f t="shared" ref="L72:T72" si="6">K72+1</f>
        <v>2015</v>
      </c>
      <c r="M72" s="425">
        <f t="shared" si="6"/>
        <v>2016</v>
      </c>
      <c r="N72" s="425">
        <f t="shared" si="6"/>
        <v>2017</v>
      </c>
      <c r="O72" s="425">
        <f t="shared" si="6"/>
        <v>2018</v>
      </c>
      <c r="P72" s="425">
        <f t="shared" si="6"/>
        <v>2019</v>
      </c>
      <c r="Q72" s="425">
        <f t="shared" si="6"/>
        <v>2020</v>
      </c>
      <c r="R72" s="425">
        <f t="shared" si="6"/>
        <v>2021</v>
      </c>
      <c r="S72" s="425">
        <f t="shared" si="6"/>
        <v>2022</v>
      </c>
      <c r="T72" s="426">
        <f t="shared" si="6"/>
        <v>2023</v>
      </c>
    </row>
    <row r="73" spans="1:20">
      <c r="A73" s="60" t="s">
        <v>172</v>
      </c>
      <c r="B73" s="72" t="s">
        <v>43</v>
      </c>
      <c r="C73" s="306">
        <v>0.06</v>
      </c>
      <c r="D73" s="307">
        <v>0.58109999999999995</v>
      </c>
      <c r="E73" s="308">
        <v>0.65</v>
      </c>
      <c r="F73" s="308">
        <v>0.68</v>
      </c>
      <c r="G73" s="339">
        <v>2016</v>
      </c>
      <c r="H73" s="340" t="str">
        <f t="shared" ref="H73:H97" si="7">VLOOKUP($A73,$E$54:$F$57,2,FALSE)</f>
        <v>£m 12/13</v>
      </c>
      <c r="I73" s="340" t="s">
        <v>270</v>
      </c>
      <c r="J73" s="423" t="s">
        <v>483</v>
      </c>
      <c r="K73" s="553"/>
      <c r="L73" s="554"/>
      <c r="M73" s="431">
        <f t="shared" ref="M73:M82" si="8">E$64</f>
        <v>2.5499999999999998E-2</v>
      </c>
      <c r="N73" s="431">
        <f t="shared" ref="N73:N82" si="9">F$64</f>
        <v>2.4199999999999999E-2</v>
      </c>
      <c r="O73" s="431">
        <f t="shared" ref="O73:O82" si="10">G$64</f>
        <v>2.29E-2</v>
      </c>
      <c r="P73" s="431">
        <f t="shared" ref="P73:P82" si="11">H$64</f>
        <v>2.0899999999999998E-2</v>
      </c>
      <c r="Q73" s="431">
        <f t="shared" ref="Q73:Q82" si="12">I$64</f>
        <v>1.9400000000000001E-2</v>
      </c>
      <c r="R73" s="431">
        <f t="shared" ref="R73:R82" si="13">J$64</f>
        <v>1.78E-2</v>
      </c>
      <c r="S73" s="431">
        <f t="shared" ref="S73:S82" si="14">K$64</f>
        <v>1.6299999999999999E-2</v>
      </c>
      <c r="T73" s="435">
        <f t="shared" ref="T73:T82" si="15">L$64</f>
        <v>1.4800000000000001E-2</v>
      </c>
    </row>
    <row r="74" spans="1:20">
      <c r="A74" s="60" t="s">
        <v>172</v>
      </c>
      <c r="B74" s="72" t="s">
        <v>44</v>
      </c>
      <c r="C74" s="306">
        <v>0.06</v>
      </c>
      <c r="D74" s="307">
        <v>0.55843703457782867</v>
      </c>
      <c r="E74" s="308">
        <v>0.65</v>
      </c>
      <c r="F74" s="308">
        <v>0.7</v>
      </c>
      <c r="G74" s="339">
        <v>2016</v>
      </c>
      <c r="H74" s="340" t="str">
        <f t="shared" si="7"/>
        <v>£m 12/13</v>
      </c>
      <c r="I74" s="340" t="s">
        <v>270</v>
      </c>
      <c r="J74" s="423" t="s">
        <v>483</v>
      </c>
      <c r="K74" s="553"/>
      <c r="L74" s="554"/>
      <c r="M74" s="431">
        <f t="shared" si="8"/>
        <v>2.5499999999999998E-2</v>
      </c>
      <c r="N74" s="431">
        <f t="shared" si="9"/>
        <v>2.4199999999999999E-2</v>
      </c>
      <c r="O74" s="431">
        <f t="shared" si="10"/>
        <v>2.29E-2</v>
      </c>
      <c r="P74" s="431">
        <f t="shared" si="11"/>
        <v>2.0899999999999998E-2</v>
      </c>
      <c r="Q74" s="431">
        <f t="shared" si="12"/>
        <v>1.9400000000000001E-2</v>
      </c>
      <c r="R74" s="431">
        <f t="shared" si="13"/>
        <v>1.78E-2</v>
      </c>
      <c r="S74" s="431">
        <f t="shared" si="14"/>
        <v>1.6299999999999999E-2</v>
      </c>
      <c r="T74" s="435">
        <f t="shared" si="15"/>
        <v>1.4800000000000001E-2</v>
      </c>
    </row>
    <row r="75" spans="1:20">
      <c r="A75" s="60" t="s">
        <v>172</v>
      </c>
      <c r="B75" s="72" t="s">
        <v>73</v>
      </c>
      <c r="C75" s="306">
        <v>0.06</v>
      </c>
      <c r="D75" s="307">
        <v>0.55843703457782867</v>
      </c>
      <c r="E75" s="308">
        <v>0.65</v>
      </c>
      <c r="F75" s="308">
        <v>0.72</v>
      </c>
      <c r="G75" s="339">
        <v>2016</v>
      </c>
      <c r="H75" s="340" t="str">
        <f t="shared" si="7"/>
        <v>£m 12/13</v>
      </c>
      <c r="I75" s="340" t="s">
        <v>270</v>
      </c>
      <c r="J75" s="423" t="s">
        <v>483</v>
      </c>
      <c r="K75" s="553"/>
      <c r="L75" s="554"/>
      <c r="M75" s="431">
        <f t="shared" si="8"/>
        <v>2.5499999999999998E-2</v>
      </c>
      <c r="N75" s="431">
        <f t="shared" si="9"/>
        <v>2.4199999999999999E-2</v>
      </c>
      <c r="O75" s="431">
        <f t="shared" si="10"/>
        <v>2.29E-2</v>
      </c>
      <c r="P75" s="431">
        <f t="shared" si="11"/>
        <v>2.0899999999999998E-2</v>
      </c>
      <c r="Q75" s="431">
        <f t="shared" si="12"/>
        <v>1.9400000000000001E-2</v>
      </c>
      <c r="R75" s="431">
        <f t="shared" si="13"/>
        <v>1.78E-2</v>
      </c>
      <c r="S75" s="431">
        <f t="shared" si="14"/>
        <v>1.6299999999999999E-2</v>
      </c>
      <c r="T75" s="435">
        <f t="shared" si="15"/>
        <v>1.4800000000000001E-2</v>
      </c>
    </row>
    <row r="76" spans="1:20">
      <c r="A76" s="60" t="s">
        <v>172</v>
      </c>
      <c r="B76" s="72" t="s">
        <v>59</v>
      </c>
      <c r="C76" s="306">
        <v>0.06</v>
      </c>
      <c r="D76" s="307">
        <v>0.53280000000000005</v>
      </c>
      <c r="E76" s="308">
        <v>0.65</v>
      </c>
      <c r="F76" s="308">
        <v>0.68</v>
      </c>
      <c r="G76" s="339">
        <v>2016</v>
      </c>
      <c r="H76" s="340" t="str">
        <f t="shared" si="7"/>
        <v>£m 12/13</v>
      </c>
      <c r="I76" s="340" t="s">
        <v>270</v>
      </c>
      <c r="J76" s="423" t="s">
        <v>483</v>
      </c>
      <c r="K76" s="553"/>
      <c r="L76" s="554"/>
      <c r="M76" s="431">
        <f t="shared" si="8"/>
        <v>2.5499999999999998E-2</v>
      </c>
      <c r="N76" s="431">
        <f t="shared" si="9"/>
        <v>2.4199999999999999E-2</v>
      </c>
      <c r="O76" s="431">
        <f t="shared" si="10"/>
        <v>2.29E-2</v>
      </c>
      <c r="P76" s="431">
        <f t="shared" si="11"/>
        <v>2.0899999999999998E-2</v>
      </c>
      <c r="Q76" s="431">
        <f t="shared" si="12"/>
        <v>1.9400000000000001E-2</v>
      </c>
      <c r="R76" s="431">
        <f t="shared" si="13"/>
        <v>1.78E-2</v>
      </c>
      <c r="S76" s="431">
        <f t="shared" si="14"/>
        <v>1.6299999999999999E-2</v>
      </c>
      <c r="T76" s="435">
        <f t="shared" si="15"/>
        <v>1.4800000000000001E-2</v>
      </c>
    </row>
    <row r="77" spans="1:20">
      <c r="A77" s="60" t="s">
        <v>172</v>
      </c>
      <c r="B77" s="72" t="s">
        <v>57</v>
      </c>
      <c r="C77" s="306">
        <v>0.06</v>
      </c>
      <c r="D77" s="307">
        <v>0.53280000000000005</v>
      </c>
      <c r="E77" s="308">
        <v>0.65</v>
      </c>
      <c r="F77" s="308">
        <v>0.68</v>
      </c>
      <c r="G77" s="339">
        <v>2016</v>
      </c>
      <c r="H77" s="340" t="str">
        <f t="shared" si="7"/>
        <v>£m 12/13</v>
      </c>
      <c r="I77" s="340" t="s">
        <v>270</v>
      </c>
      <c r="J77" s="423" t="s">
        <v>483</v>
      </c>
      <c r="K77" s="553"/>
      <c r="L77" s="554"/>
      <c r="M77" s="431">
        <f t="shared" si="8"/>
        <v>2.5499999999999998E-2</v>
      </c>
      <c r="N77" s="431">
        <f t="shared" si="9"/>
        <v>2.4199999999999999E-2</v>
      </c>
      <c r="O77" s="431">
        <f t="shared" si="10"/>
        <v>2.29E-2</v>
      </c>
      <c r="P77" s="431">
        <f t="shared" si="11"/>
        <v>2.0899999999999998E-2</v>
      </c>
      <c r="Q77" s="431">
        <f t="shared" si="12"/>
        <v>1.9400000000000001E-2</v>
      </c>
      <c r="R77" s="431">
        <f t="shared" si="13"/>
        <v>1.78E-2</v>
      </c>
      <c r="S77" s="431">
        <f t="shared" si="14"/>
        <v>1.6299999999999999E-2</v>
      </c>
      <c r="T77" s="435">
        <f t="shared" si="15"/>
        <v>1.4800000000000001E-2</v>
      </c>
    </row>
    <row r="78" spans="1:20">
      <c r="A78" s="60" t="s">
        <v>172</v>
      </c>
      <c r="B78" s="72" t="s">
        <v>58</v>
      </c>
      <c r="C78" s="306">
        <v>0.06</v>
      </c>
      <c r="D78" s="307">
        <v>0.53280000000000005</v>
      </c>
      <c r="E78" s="308">
        <v>0.65</v>
      </c>
      <c r="F78" s="308">
        <v>0.68</v>
      </c>
      <c r="G78" s="339">
        <v>2016</v>
      </c>
      <c r="H78" s="340" t="str">
        <f t="shared" si="7"/>
        <v>£m 12/13</v>
      </c>
      <c r="I78" s="340" t="s">
        <v>270</v>
      </c>
      <c r="J78" s="423" t="s">
        <v>483</v>
      </c>
      <c r="K78" s="553"/>
      <c r="L78" s="554"/>
      <c r="M78" s="431">
        <f t="shared" si="8"/>
        <v>2.5499999999999998E-2</v>
      </c>
      <c r="N78" s="431">
        <f t="shared" si="9"/>
        <v>2.4199999999999999E-2</v>
      </c>
      <c r="O78" s="431">
        <f t="shared" si="10"/>
        <v>2.29E-2</v>
      </c>
      <c r="P78" s="431">
        <f t="shared" si="11"/>
        <v>2.0899999999999998E-2</v>
      </c>
      <c r="Q78" s="431">
        <f t="shared" si="12"/>
        <v>1.9400000000000001E-2</v>
      </c>
      <c r="R78" s="431">
        <f t="shared" si="13"/>
        <v>1.78E-2</v>
      </c>
      <c r="S78" s="431">
        <f t="shared" si="14"/>
        <v>1.6299999999999999E-2</v>
      </c>
      <c r="T78" s="435">
        <f t="shared" si="15"/>
        <v>1.4800000000000001E-2</v>
      </c>
    </row>
    <row r="79" spans="1:20">
      <c r="A79" s="60" t="s">
        <v>172</v>
      </c>
      <c r="B79" s="72" t="s">
        <v>45</v>
      </c>
      <c r="C79" s="306">
        <v>0.06</v>
      </c>
      <c r="D79" s="307">
        <v>0.53500000000000003</v>
      </c>
      <c r="E79" s="308">
        <v>0.65</v>
      </c>
      <c r="F79" s="308">
        <v>0.8</v>
      </c>
      <c r="G79" s="339">
        <v>2016</v>
      </c>
      <c r="H79" s="340" t="str">
        <f t="shared" si="7"/>
        <v>£m 12/13</v>
      </c>
      <c r="I79" s="340" t="s">
        <v>270</v>
      </c>
      <c r="J79" s="423" t="s">
        <v>483</v>
      </c>
      <c r="K79" s="553"/>
      <c r="L79" s="554"/>
      <c r="M79" s="431">
        <f t="shared" si="8"/>
        <v>2.5499999999999998E-2</v>
      </c>
      <c r="N79" s="431">
        <f t="shared" si="9"/>
        <v>2.4199999999999999E-2</v>
      </c>
      <c r="O79" s="431">
        <f t="shared" si="10"/>
        <v>2.29E-2</v>
      </c>
      <c r="P79" s="431">
        <f t="shared" si="11"/>
        <v>2.0899999999999998E-2</v>
      </c>
      <c r="Q79" s="431">
        <f t="shared" si="12"/>
        <v>1.9400000000000001E-2</v>
      </c>
      <c r="R79" s="431">
        <f t="shared" si="13"/>
        <v>1.78E-2</v>
      </c>
      <c r="S79" s="431">
        <f t="shared" si="14"/>
        <v>1.6299999999999999E-2</v>
      </c>
      <c r="T79" s="435">
        <f t="shared" si="15"/>
        <v>1.4800000000000001E-2</v>
      </c>
    </row>
    <row r="80" spans="1:20">
      <c r="A80" s="60" t="s">
        <v>172</v>
      </c>
      <c r="B80" s="72" t="s">
        <v>46</v>
      </c>
      <c r="C80" s="306">
        <v>0.06</v>
      </c>
      <c r="D80" s="307">
        <v>0.53500000000000003</v>
      </c>
      <c r="E80" s="308">
        <v>0.65</v>
      </c>
      <c r="F80" s="308">
        <v>0.8</v>
      </c>
      <c r="G80" s="339">
        <v>2016</v>
      </c>
      <c r="H80" s="340" t="str">
        <f t="shared" si="7"/>
        <v>£m 12/13</v>
      </c>
      <c r="I80" s="340" t="s">
        <v>270</v>
      </c>
      <c r="J80" s="423" t="s">
        <v>483</v>
      </c>
      <c r="K80" s="553"/>
      <c r="L80" s="554"/>
      <c r="M80" s="431">
        <f t="shared" si="8"/>
        <v>2.5499999999999998E-2</v>
      </c>
      <c r="N80" s="431">
        <f t="shared" si="9"/>
        <v>2.4199999999999999E-2</v>
      </c>
      <c r="O80" s="431">
        <f t="shared" si="10"/>
        <v>2.29E-2</v>
      </c>
      <c r="P80" s="431">
        <f t="shared" si="11"/>
        <v>2.0899999999999998E-2</v>
      </c>
      <c r="Q80" s="431">
        <f t="shared" si="12"/>
        <v>1.9400000000000001E-2</v>
      </c>
      <c r="R80" s="431">
        <f t="shared" si="13"/>
        <v>1.78E-2</v>
      </c>
      <c r="S80" s="431">
        <f t="shared" si="14"/>
        <v>1.6299999999999999E-2</v>
      </c>
      <c r="T80" s="435">
        <f t="shared" si="15"/>
        <v>1.4800000000000001E-2</v>
      </c>
    </row>
    <row r="81" spans="1:20">
      <c r="A81" s="60" t="s">
        <v>172</v>
      </c>
      <c r="B81" s="72" t="s">
        <v>47</v>
      </c>
      <c r="C81" s="306">
        <v>0.06</v>
      </c>
      <c r="D81" s="307">
        <v>0.56469999999999998</v>
      </c>
      <c r="E81" s="308">
        <v>0.65</v>
      </c>
      <c r="F81" s="308">
        <v>0.62</v>
      </c>
      <c r="G81" s="339">
        <v>2016</v>
      </c>
      <c r="H81" s="340" t="str">
        <f t="shared" si="7"/>
        <v>£m 12/13</v>
      </c>
      <c r="I81" s="340" t="s">
        <v>270</v>
      </c>
      <c r="J81" s="423" t="s">
        <v>483</v>
      </c>
      <c r="K81" s="553"/>
      <c r="L81" s="554"/>
      <c r="M81" s="431">
        <f t="shared" si="8"/>
        <v>2.5499999999999998E-2</v>
      </c>
      <c r="N81" s="431">
        <f t="shared" si="9"/>
        <v>2.4199999999999999E-2</v>
      </c>
      <c r="O81" s="431">
        <f t="shared" si="10"/>
        <v>2.29E-2</v>
      </c>
      <c r="P81" s="431">
        <f t="shared" si="11"/>
        <v>2.0899999999999998E-2</v>
      </c>
      <c r="Q81" s="431">
        <f t="shared" si="12"/>
        <v>1.9400000000000001E-2</v>
      </c>
      <c r="R81" s="431">
        <f t="shared" si="13"/>
        <v>1.78E-2</v>
      </c>
      <c r="S81" s="431">
        <f t="shared" si="14"/>
        <v>1.6299999999999999E-2</v>
      </c>
      <c r="T81" s="435">
        <f t="shared" si="15"/>
        <v>1.4800000000000001E-2</v>
      </c>
    </row>
    <row r="82" spans="1:20">
      <c r="A82" s="60" t="s">
        <v>172</v>
      </c>
      <c r="B82" s="72" t="s">
        <v>48</v>
      </c>
      <c r="C82" s="306">
        <v>0.06</v>
      </c>
      <c r="D82" s="307">
        <v>0.56469999999999998</v>
      </c>
      <c r="E82" s="308">
        <v>0.65</v>
      </c>
      <c r="F82" s="308">
        <v>0.7</v>
      </c>
      <c r="G82" s="339">
        <v>2016</v>
      </c>
      <c r="H82" s="340" t="str">
        <f t="shared" si="7"/>
        <v>£m 12/13</v>
      </c>
      <c r="I82" s="340" t="s">
        <v>270</v>
      </c>
      <c r="J82" s="423" t="s">
        <v>483</v>
      </c>
      <c r="K82" s="553"/>
      <c r="L82" s="554"/>
      <c r="M82" s="431">
        <f t="shared" si="8"/>
        <v>2.5499999999999998E-2</v>
      </c>
      <c r="N82" s="431">
        <f t="shared" si="9"/>
        <v>2.4199999999999999E-2</v>
      </c>
      <c r="O82" s="431">
        <f t="shared" si="10"/>
        <v>2.29E-2</v>
      </c>
      <c r="P82" s="431">
        <f t="shared" si="11"/>
        <v>2.0899999999999998E-2</v>
      </c>
      <c r="Q82" s="431">
        <f t="shared" si="12"/>
        <v>1.9400000000000001E-2</v>
      </c>
      <c r="R82" s="431">
        <f t="shared" si="13"/>
        <v>1.78E-2</v>
      </c>
      <c r="S82" s="431">
        <f t="shared" si="14"/>
        <v>1.6299999999999999E-2</v>
      </c>
      <c r="T82" s="435">
        <f t="shared" si="15"/>
        <v>1.4800000000000001E-2</v>
      </c>
    </row>
    <row r="83" spans="1:20">
      <c r="A83" s="60" t="s">
        <v>172</v>
      </c>
      <c r="B83" s="72" t="s">
        <v>246</v>
      </c>
      <c r="C83" s="306">
        <v>6.4000000000000001E-2</v>
      </c>
      <c r="D83" s="307">
        <v>0.7</v>
      </c>
      <c r="E83" s="308">
        <v>0.65</v>
      </c>
      <c r="F83" s="308">
        <v>0.8</v>
      </c>
      <c r="G83" s="339">
        <v>2016</v>
      </c>
      <c r="H83" s="340" t="str">
        <f t="shared" si="7"/>
        <v>£m 12/13</v>
      </c>
      <c r="I83" s="340" t="s">
        <v>271</v>
      </c>
      <c r="J83" s="423" t="s">
        <v>484</v>
      </c>
      <c r="K83" s="553"/>
      <c r="L83" s="554"/>
      <c r="M83" s="431">
        <f t="shared" ref="M83:T86" si="16">E$63</f>
        <v>2.5499999999999998E-2</v>
      </c>
      <c r="N83" s="431">
        <f t="shared" si="16"/>
        <v>2.3799999999999998E-2</v>
      </c>
      <c r="O83" s="431">
        <f t="shared" si="16"/>
        <v>2.2200000000000001E-2</v>
      </c>
      <c r="P83" s="431">
        <f t="shared" si="16"/>
        <v>1.9099999999999999E-2</v>
      </c>
      <c r="Q83" s="431">
        <f t="shared" si="16"/>
        <v>1.5800000000000002E-2</v>
      </c>
      <c r="R83" s="431">
        <f t="shared" si="16"/>
        <v>1.09E-2</v>
      </c>
      <c r="S83" s="431">
        <f t="shared" si="16"/>
        <v>7.7000000000000002E-3</v>
      </c>
      <c r="T83" s="435">
        <f t="shared" si="16"/>
        <v>4.5999999999999999E-3</v>
      </c>
    </row>
    <row r="84" spans="1:20">
      <c r="A84" s="60" t="s">
        <v>172</v>
      </c>
      <c r="B84" s="72" t="s">
        <v>247</v>
      </c>
      <c r="C84" s="306">
        <v>6.4000000000000001E-2</v>
      </c>
      <c r="D84" s="307">
        <v>0.7</v>
      </c>
      <c r="E84" s="308">
        <v>0.65</v>
      </c>
      <c r="F84" s="308">
        <v>0.8</v>
      </c>
      <c r="G84" s="339">
        <v>2016</v>
      </c>
      <c r="H84" s="340" t="str">
        <f t="shared" si="7"/>
        <v>£m 12/13</v>
      </c>
      <c r="I84" s="340" t="s">
        <v>271</v>
      </c>
      <c r="J84" s="423" t="s">
        <v>484</v>
      </c>
      <c r="K84" s="553"/>
      <c r="L84" s="554"/>
      <c r="M84" s="431">
        <f t="shared" si="16"/>
        <v>2.5499999999999998E-2</v>
      </c>
      <c r="N84" s="431">
        <f t="shared" si="16"/>
        <v>2.3799999999999998E-2</v>
      </c>
      <c r="O84" s="431">
        <f t="shared" si="16"/>
        <v>2.2200000000000001E-2</v>
      </c>
      <c r="P84" s="431">
        <f t="shared" si="16"/>
        <v>1.9099999999999999E-2</v>
      </c>
      <c r="Q84" s="431">
        <f t="shared" si="16"/>
        <v>1.5800000000000002E-2</v>
      </c>
      <c r="R84" s="431">
        <f t="shared" si="16"/>
        <v>1.09E-2</v>
      </c>
      <c r="S84" s="431">
        <f t="shared" si="16"/>
        <v>7.7000000000000002E-3</v>
      </c>
      <c r="T84" s="435">
        <f t="shared" si="16"/>
        <v>4.5999999999999999E-3</v>
      </c>
    </row>
    <row r="85" spans="1:20">
      <c r="A85" s="60" t="s">
        <v>172</v>
      </c>
      <c r="B85" s="72" t="s">
        <v>248</v>
      </c>
      <c r="C85" s="306">
        <v>6.4000000000000001E-2</v>
      </c>
      <c r="D85" s="307">
        <v>0.7</v>
      </c>
      <c r="E85" s="308">
        <v>0.65</v>
      </c>
      <c r="F85" s="308">
        <v>0.8</v>
      </c>
      <c r="G85" s="339">
        <v>2016</v>
      </c>
      <c r="H85" s="340" t="str">
        <f t="shared" si="7"/>
        <v>£m 12/13</v>
      </c>
      <c r="I85" s="340" t="s">
        <v>271</v>
      </c>
      <c r="J85" s="423" t="s">
        <v>484</v>
      </c>
      <c r="K85" s="553"/>
      <c r="L85" s="554"/>
      <c r="M85" s="431">
        <f t="shared" si="16"/>
        <v>2.5499999999999998E-2</v>
      </c>
      <c r="N85" s="431">
        <f t="shared" si="16"/>
        <v>2.3799999999999998E-2</v>
      </c>
      <c r="O85" s="431">
        <f t="shared" si="16"/>
        <v>2.2200000000000001E-2</v>
      </c>
      <c r="P85" s="431">
        <f t="shared" si="16"/>
        <v>1.9099999999999999E-2</v>
      </c>
      <c r="Q85" s="431">
        <f t="shared" si="16"/>
        <v>1.5800000000000002E-2</v>
      </c>
      <c r="R85" s="431">
        <f t="shared" si="16"/>
        <v>1.09E-2</v>
      </c>
      <c r="S85" s="431">
        <f t="shared" si="16"/>
        <v>7.7000000000000002E-3</v>
      </c>
      <c r="T85" s="435">
        <f t="shared" si="16"/>
        <v>4.5999999999999999E-3</v>
      </c>
    </row>
    <row r="86" spans="1:20">
      <c r="A86" s="60" t="s">
        <v>172</v>
      </c>
      <c r="B86" s="72" t="s">
        <v>249</v>
      </c>
      <c r="C86" s="306">
        <v>6.4000000000000001E-2</v>
      </c>
      <c r="D86" s="307">
        <v>0.7</v>
      </c>
      <c r="E86" s="308">
        <v>0.65</v>
      </c>
      <c r="F86" s="308">
        <v>0.8</v>
      </c>
      <c r="G86" s="339">
        <v>2016</v>
      </c>
      <c r="H86" s="340" t="str">
        <f t="shared" si="7"/>
        <v>£m 12/13</v>
      </c>
      <c r="I86" s="340" t="s">
        <v>271</v>
      </c>
      <c r="J86" s="423" t="s">
        <v>484</v>
      </c>
      <c r="K86" s="553"/>
      <c r="L86" s="554"/>
      <c r="M86" s="431">
        <f t="shared" si="16"/>
        <v>2.5499999999999998E-2</v>
      </c>
      <c r="N86" s="431">
        <f t="shared" si="16"/>
        <v>2.3799999999999998E-2</v>
      </c>
      <c r="O86" s="431">
        <f t="shared" si="16"/>
        <v>2.2200000000000001E-2</v>
      </c>
      <c r="P86" s="431">
        <f t="shared" si="16"/>
        <v>1.9099999999999999E-2</v>
      </c>
      <c r="Q86" s="431">
        <f t="shared" si="16"/>
        <v>1.5800000000000002E-2</v>
      </c>
      <c r="R86" s="431">
        <f t="shared" si="16"/>
        <v>1.09E-2</v>
      </c>
      <c r="S86" s="431">
        <f t="shared" si="16"/>
        <v>7.7000000000000002E-3</v>
      </c>
      <c r="T86" s="435">
        <f t="shared" si="16"/>
        <v>4.5999999999999999E-3</v>
      </c>
    </row>
    <row r="87" spans="1:20">
      <c r="A87" s="60" t="s">
        <v>173</v>
      </c>
      <c r="B87" s="72" t="s">
        <v>53</v>
      </c>
      <c r="C87" s="306">
        <v>6.7000000000000004E-2</v>
      </c>
      <c r="D87" s="307">
        <v>0.63039999999999996</v>
      </c>
      <c r="E87" s="308">
        <v>0.65</v>
      </c>
      <c r="F87" s="308">
        <v>0.26634501855794862</v>
      </c>
      <c r="G87" s="339">
        <v>2014</v>
      </c>
      <c r="H87" s="340" t="str">
        <f t="shared" si="7"/>
        <v>£m 09/10</v>
      </c>
      <c r="I87" s="340" t="s">
        <v>270</v>
      </c>
      <c r="J87" s="423" t="s">
        <v>484</v>
      </c>
      <c r="K87" s="433">
        <f t="shared" ref="K87:R94" si="17">C$67</f>
        <v>2.92E-2</v>
      </c>
      <c r="L87" s="431">
        <f t="shared" si="17"/>
        <v>2.7199999999999998E-2</v>
      </c>
      <c r="M87" s="431">
        <f t="shared" si="17"/>
        <v>2.5499999999999998E-2</v>
      </c>
      <c r="N87" s="431">
        <f t="shared" si="17"/>
        <v>2.3800000000000002E-2</v>
      </c>
      <c r="O87" s="431">
        <f t="shared" si="17"/>
        <v>2.2200000000000001E-2</v>
      </c>
      <c r="P87" s="431">
        <f t="shared" si="17"/>
        <v>1.9099999999999999E-2</v>
      </c>
      <c r="Q87" s="431">
        <f t="shared" si="17"/>
        <v>1.5800000000000002E-2</v>
      </c>
      <c r="R87" s="431">
        <f t="shared" si="17"/>
        <v>1.09E-2</v>
      </c>
      <c r="S87" s="554"/>
      <c r="T87" s="555"/>
    </row>
    <row r="88" spans="1:20">
      <c r="A88" s="60" t="s">
        <v>173</v>
      </c>
      <c r="B88" s="72" t="s">
        <v>54</v>
      </c>
      <c r="C88" s="306">
        <v>6.7000000000000004E-2</v>
      </c>
      <c r="D88" s="307">
        <v>0.63039999999999996</v>
      </c>
      <c r="E88" s="308">
        <v>0.65</v>
      </c>
      <c r="F88" s="308">
        <v>0.23469337831705597</v>
      </c>
      <c r="G88" s="339">
        <v>2014</v>
      </c>
      <c r="H88" s="340" t="str">
        <f t="shared" si="7"/>
        <v>£m 09/10</v>
      </c>
      <c r="I88" s="340" t="s">
        <v>270</v>
      </c>
      <c r="J88" s="423" t="s">
        <v>484</v>
      </c>
      <c r="K88" s="433">
        <f t="shared" si="17"/>
        <v>2.92E-2</v>
      </c>
      <c r="L88" s="431">
        <f t="shared" si="17"/>
        <v>2.7199999999999998E-2</v>
      </c>
      <c r="M88" s="431">
        <f t="shared" si="17"/>
        <v>2.5499999999999998E-2</v>
      </c>
      <c r="N88" s="431">
        <f t="shared" si="17"/>
        <v>2.3800000000000002E-2</v>
      </c>
      <c r="O88" s="431">
        <f t="shared" si="17"/>
        <v>2.2200000000000001E-2</v>
      </c>
      <c r="P88" s="431">
        <f t="shared" si="17"/>
        <v>1.9099999999999999E-2</v>
      </c>
      <c r="Q88" s="431">
        <f t="shared" si="17"/>
        <v>1.5800000000000002E-2</v>
      </c>
      <c r="R88" s="431">
        <f t="shared" si="17"/>
        <v>1.09E-2</v>
      </c>
      <c r="S88" s="554"/>
      <c r="T88" s="555"/>
    </row>
    <row r="89" spans="1:20">
      <c r="A89" s="60" t="s">
        <v>173</v>
      </c>
      <c r="B89" s="72" t="s">
        <v>55</v>
      </c>
      <c r="C89" s="306">
        <v>6.7000000000000004E-2</v>
      </c>
      <c r="D89" s="307">
        <v>0.63039999999999996</v>
      </c>
      <c r="E89" s="308">
        <v>0.65</v>
      </c>
      <c r="F89" s="308">
        <v>0.24946223864843597</v>
      </c>
      <c r="G89" s="339">
        <v>2014</v>
      </c>
      <c r="H89" s="340" t="str">
        <f t="shared" si="7"/>
        <v>£m 09/10</v>
      </c>
      <c r="I89" s="340" t="s">
        <v>270</v>
      </c>
      <c r="J89" s="423" t="s">
        <v>484</v>
      </c>
      <c r="K89" s="433">
        <f t="shared" si="17"/>
        <v>2.92E-2</v>
      </c>
      <c r="L89" s="431">
        <f t="shared" si="17"/>
        <v>2.7199999999999998E-2</v>
      </c>
      <c r="M89" s="431">
        <f t="shared" si="17"/>
        <v>2.5499999999999998E-2</v>
      </c>
      <c r="N89" s="431">
        <f t="shared" si="17"/>
        <v>2.3800000000000002E-2</v>
      </c>
      <c r="O89" s="431">
        <f t="shared" si="17"/>
        <v>2.2200000000000001E-2</v>
      </c>
      <c r="P89" s="431">
        <f t="shared" si="17"/>
        <v>1.9099999999999999E-2</v>
      </c>
      <c r="Q89" s="431">
        <f t="shared" si="17"/>
        <v>1.5800000000000002E-2</v>
      </c>
      <c r="R89" s="431">
        <f t="shared" si="17"/>
        <v>1.09E-2</v>
      </c>
      <c r="S89" s="554"/>
      <c r="T89" s="555"/>
    </row>
    <row r="90" spans="1:20">
      <c r="A90" s="60" t="s">
        <v>173</v>
      </c>
      <c r="B90" s="72" t="s">
        <v>56</v>
      </c>
      <c r="C90" s="306">
        <v>6.7000000000000004E-2</v>
      </c>
      <c r="D90" s="307">
        <v>0.63039999999999996</v>
      </c>
      <c r="E90" s="308">
        <v>0.65</v>
      </c>
      <c r="F90" s="308">
        <v>0.26095352485819256</v>
      </c>
      <c r="G90" s="339">
        <v>2014</v>
      </c>
      <c r="H90" s="340" t="str">
        <f t="shared" si="7"/>
        <v>£m 09/10</v>
      </c>
      <c r="I90" s="340" t="s">
        <v>270</v>
      </c>
      <c r="J90" s="423" t="s">
        <v>484</v>
      </c>
      <c r="K90" s="433">
        <f t="shared" si="17"/>
        <v>2.92E-2</v>
      </c>
      <c r="L90" s="431">
        <f t="shared" si="17"/>
        <v>2.7199999999999998E-2</v>
      </c>
      <c r="M90" s="431">
        <f t="shared" si="17"/>
        <v>2.5499999999999998E-2</v>
      </c>
      <c r="N90" s="431">
        <f t="shared" si="17"/>
        <v>2.3800000000000002E-2</v>
      </c>
      <c r="O90" s="431">
        <f t="shared" si="17"/>
        <v>2.2200000000000001E-2</v>
      </c>
      <c r="P90" s="431">
        <f t="shared" si="17"/>
        <v>1.9099999999999999E-2</v>
      </c>
      <c r="Q90" s="431">
        <f t="shared" si="17"/>
        <v>1.5800000000000002E-2</v>
      </c>
      <c r="R90" s="431">
        <f t="shared" si="17"/>
        <v>1.09E-2</v>
      </c>
      <c r="S90" s="554"/>
      <c r="T90" s="555"/>
    </row>
    <row r="91" spans="1:20">
      <c r="A91" s="60" t="s">
        <v>173</v>
      </c>
      <c r="B91" s="72" t="s">
        <v>50</v>
      </c>
      <c r="C91" s="306">
        <v>6.7000000000000004E-2</v>
      </c>
      <c r="D91" s="307">
        <v>0.63980000000000004</v>
      </c>
      <c r="E91" s="308">
        <v>0.65</v>
      </c>
      <c r="F91" s="308">
        <v>0.34984411379298247</v>
      </c>
      <c r="G91" s="339">
        <v>2014</v>
      </c>
      <c r="H91" s="340" t="str">
        <f t="shared" si="7"/>
        <v>£m 09/10</v>
      </c>
      <c r="I91" s="340" t="s">
        <v>270</v>
      </c>
      <c r="J91" s="423" t="s">
        <v>484</v>
      </c>
      <c r="K91" s="433">
        <f t="shared" si="17"/>
        <v>2.92E-2</v>
      </c>
      <c r="L91" s="431">
        <f t="shared" si="17"/>
        <v>2.7199999999999998E-2</v>
      </c>
      <c r="M91" s="431">
        <f t="shared" si="17"/>
        <v>2.5499999999999998E-2</v>
      </c>
      <c r="N91" s="431">
        <f t="shared" si="17"/>
        <v>2.3800000000000002E-2</v>
      </c>
      <c r="O91" s="431">
        <f t="shared" si="17"/>
        <v>2.2200000000000001E-2</v>
      </c>
      <c r="P91" s="431">
        <f t="shared" si="17"/>
        <v>1.9099999999999999E-2</v>
      </c>
      <c r="Q91" s="431">
        <f t="shared" si="17"/>
        <v>1.5800000000000002E-2</v>
      </c>
      <c r="R91" s="431">
        <f t="shared" si="17"/>
        <v>1.09E-2</v>
      </c>
      <c r="S91" s="554"/>
      <c r="T91" s="555"/>
    </row>
    <row r="92" spans="1:20">
      <c r="A92" s="60" t="s">
        <v>173</v>
      </c>
      <c r="B92" s="72" t="s">
        <v>52</v>
      </c>
      <c r="C92" s="306">
        <v>6.7000000000000004E-2</v>
      </c>
      <c r="D92" s="307">
        <v>0.63729999999999998</v>
      </c>
      <c r="E92" s="308">
        <v>0.65</v>
      </c>
      <c r="F92" s="308">
        <v>0.35129049661183626</v>
      </c>
      <c r="G92" s="339">
        <v>2014</v>
      </c>
      <c r="H92" s="340" t="str">
        <f t="shared" si="7"/>
        <v>£m 09/10</v>
      </c>
      <c r="I92" s="340" t="s">
        <v>270</v>
      </c>
      <c r="J92" s="423" t="s">
        <v>484</v>
      </c>
      <c r="K92" s="433">
        <f t="shared" si="17"/>
        <v>2.92E-2</v>
      </c>
      <c r="L92" s="431">
        <f t="shared" si="17"/>
        <v>2.7199999999999998E-2</v>
      </c>
      <c r="M92" s="431">
        <f t="shared" si="17"/>
        <v>2.5499999999999998E-2</v>
      </c>
      <c r="N92" s="431">
        <f t="shared" si="17"/>
        <v>2.3800000000000002E-2</v>
      </c>
      <c r="O92" s="431">
        <f t="shared" si="17"/>
        <v>2.2200000000000001E-2</v>
      </c>
      <c r="P92" s="431">
        <f t="shared" si="17"/>
        <v>1.9099999999999999E-2</v>
      </c>
      <c r="Q92" s="431">
        <f t="shared" si="17"/>
        <v>1.5800000000000002E-2</v>
      </c>
      <c r="R92" s="431">
        <f t="shared" si="17"/>
        <v>1.09E-2</v>
      </c>
      <c r="S92" s="554"/>
      <c r="T92" s="555"/>
    </row>
    <row r="93" spans="1:20">
      <c r="A93" s="60" t="s">
        <v>173</v>
      </c>
      <c r="B93" s="72" t="s">
        <v>51</v>
      </c>
      <c r="C93" s="306">
        <v>6.7000000000000004E-2</v>
      </c>
      <c r="D93" s="307">
        <v>0.63729999999999998</v>
      </c>
      <c r="E93" s="308">
        <v>0.65</v>
      </c>
      <c r="F93" s="308">
        <v>0.32230855902021693</v>
      </c>
      <c r="G93" s="339">
        <v>2014</v>
      </c>
      <c r="H93" s="340" t="str">
        <f t="shared" si="7"/>
        <v>£m 09/10</v>
      </c>
      <c r="I93" s="340" t="s">
        <v>270</v>
      </c>
      <c r="J93" s="423" t="s">
        <v>484</v>
      </c>
      <c r="K93" s="433">
        <f t="shared" si="17"/>
        <v>2.92E-2</v>
      </c>
      <c r="L93" s="431">
        <f t="shared" si="17"/>
        <v>2.7199999999999998E-2</v>
      </c>
      <c r="M93" s="431">
        <f t="shared" si="17"/>
        <v>2.5499999999999998E-2</v>
      </c>
      <c r="N93" s="431">
        <f t="shared" si="17"/>
        <v>2.3800000000000002E-2</v>
      </c>
      <c r="O93" s="431">
        <f t="shared" si="17"/>
        <v>2.2200000000000001E-2</v>
      </c>
      <c r="P93" s="431">
        <f t="shared" si="17"/>
        <v>1.9099999999999999E-2</v>
      </c>
      <c r="Q93" s="431">
        <f t="shared" si="17"/>
        <v>1.5800000000000002E-2</v>
      </c>
      <c r="R93" s="431">
        <f t="shared" si="17"/>
        <v>1.09E-2</v>
      </c>
      <c r="S93" s="554"/>
      <c r="T93" s="555"/>
    </row>
    <row r="94" spans="1:20">
      <c r="A94" s="60" t="s">
        <v>173</v>
      </c>
      <c r="B94" s="72" t="s">
        <v>49</v>
      </c>
      <c r="C94" s="306">
        <v>6.7000000000000004E-2</v>
      </c>
      <c r="D94" s="307">
        <v>0.63170000000000004</v>
      </c>
      <c r="E94" s="308">
        <v>0.65</v>
      </c>
      <c r="F94" s="308">
        <v>0.35781904469402892</v>
      </c>
      <c r="G94" s="339">
        <v>2014</v>
      </c>
      <c r="H94" s="340" t="str">
        <f t="shared" si="7"/>
        <v>£m 09/10</v>
      </c>
      <c r="I94" s="340" t="s">
        <v>270</v>
      </c>
      <c r="J94" s="423" t="s">
        <v>484</v>
      </c>
      <c r="K94" s="433">
        <f t="shared" si="17"/>
        <v>2.92E-2</v>
      </c>
      <c r="L94" s="431">
        <f t="shared" si="17"/>
        <v>2.7199999999999998E-2</v>
      </c>
      <c r="M94" s="431">
        <f t="shared" si="17"/>
        <v>2.5499999999999998E-2</v>
      </c>
      <c r="N94" s="431">
        <f t="shared" si="17"/>
        <v>2.3800000000000002E-2</v>
      </c>
      <c r="O94" s="431">
        <f t="shared" si="17"/>
        <v>2.2200000000000001E-2</v>
      </c>
      <c r="P94" s="431">
        <f t="shared" si="17"/>
        <v>1.9099999999999999E-2</v>
      </c>
      <c r="Q94" s="431">
        <f t="shared" si="17"/>
        <v>1.5800000000000002E-2</v>
      </c>
      <c r="R94" s="431">
        <f t="shared" si="17"/>
        <v>1.09E-2</v>
      </c>
      <c r="S94" s="554"/>
      <c r="T94" s="555"/>
    </row>
    <row r="95" spans="1:20">
      <c r="A95" s="60" t="s">
        <v>175</v>
      </c>
      <c r="B95" s="72" t="s">
        <v>113</v>
      </c>
      <c r="C95" s="306">
        <v>6.8000000000000005E-2</v>
      </c>
      <c r="D95" s="307">
        <v>0.44359999999999999</v>
      </c>
      <c r="E95" s="308">
        <v>0.625</v>
      </c>
      <c r="F95" s="308">
        <v>0.64400000000000002</v>
      </c>
      <c r="G95" s="339">
        <v>2014</v>
      </c>
      <c r="H95" s="340" t="str">
        <f t="shared" si="7"/>
        <v>£m 09/10</v>
      </c>
      <c r="I95" s="340" t="s">
        <v>270</v>
      </c>
      <c r="J95" s="423" t="s">
        <v>484</v>
      </c>
      <c r="K95" s="433">
        <f t="shared" ref="K95:R96" si="18">C$68</f>
        <v>2.92E-2</v>
      </c>
      <c r="L95" s="431">
        <f t="shared" si="18"/>
        <v>2.7199999999999998E-2</v>
      </c>
      <c r="M95" s="431">
        <f t="shared" si="18"/>
        <v>2.5499999999999998E-2</v>
      </c>
      <c r="N95" s="431">
        <f t="shared" si="18"/>
        <v>2.3800000000000002E-2</v>
      </c>
      <c r="O95" s="431">
        <f t="shared" si="18"/>
        <v>2.2200000000000001E-2</v>
      </c>
      <c r="P95" s="431">
        <f t="shared" si="18"/>
        <v>1.9099999999999999E-2</v>
      </c>
      <c r="Q95" s="431">
        <f t="shared" si="18"/>
        <v>1.5800000000000002E-2</v>
      </c>
      <c r="R95" s="431">
        <f t="shared" si="18"/>
        <v>1.09E-2</v>
      </c>
      <c r="S95" s="554"/>
      <c r="T95" s="555"/>
    </row>
    <row r="96" spans="1:20">
      <c r="A96" s="60" t="s">
        <v>175</v>
      </c>
      <c r="B96" s="72" t="s">
        <v>114</v>
      </c>
      <c r="C96" s="306">
        <v>6.8000000000000005E-2</v>
      </c>
      <c r="D96" s="307">
        <v>0.44359999999999999</v>
      </c>
      <c r="E96" s="308">
        <v>0.625</v>
      </c>
      <c r="F96" s="308">
        <v>0.374</v>
      </c>
      <c r="G96" s="339">
        <v>2014</v>
      </c>
      <c r="H96" s="340" t="str">
        <f t="shared" si="7"/>
        <v>£m 09/10</v>
      </c>
      <c r="I96" s="340" t="s">
        <v>270</v>
      </c>
      <c r="J96" s="423" t="s">
        <v>484</v>
      </c>
      <c r="K96" s="433">
        <f t="shared" si="18"/>
        <v>2.92E-2</v>
      </c>
      <c r="L96" s="431">
        <f t="shared" si="18"/>
        <v>2.7199999999999998E-2</v>
      </c>
      <c r="M96" s="431">
        <f t="shared" si="18"/>
        <v>2.5499999999999998E-2</v>
      </c>
      <c r="N96" s="431">
        <f t="shared" si="18"/>
        <v>2.3800000000000002E-2</v>
      </c>
      <c r="O96" s="431">
        <f t="shared" si="18"/>
        <v>2.2200000000000001E-2</v>
      </c>
      <c r="P96" s="431">
        <f t="shared" si="18"/>
        <v>1.9099999999999999E-2</v>
      </c>
      <c r="Q96" s="431">
        <f t="shared" si="18"/>
        <v>1.5800000000000002E-2</v>
      </c>
      <c r="R96" s="431">
        <f t="shared" si="18"/>
        <v>1.09E-2</v>
      </c>
      <c r="S96" s="554"/>
      <c r="T96" s="555"/>
    </row>
    <row r="97" spans="1:20">
      <c r="A97" s="60" t="s">
        <v>174</v>
      </c>
      <c r="B97" s="72" t="s">
        <v>111</v>
      </c>
      <c r="C97" s="306">
        <v>7.0000000000000007E-2</v>
      </c>
      <c r="D97" s="307">
        <v>0.46889999999999998</v>
      </c>
      <c r="E97" s="308">
        <v>0.6</v>
      </c>
      <c r="F97" s="308">
        <v>0.85</v>
      </c>
      <c r="G97" s="339">
        <v>2014</v>
      </c>
      <c r="H97" s="340" t="str">
        <f t="shared" si="7"/>
        <v>£m 09/10</v>
      </c>
      <c r="I97" s="340" t="s">
        <v>270</v>
      </c>
      <c r="J97" s="423" t="s">
        <v>484</v>
      </c>
      <c r="K97" s="433">
        <f t="shared" ref="K97:R99" si="19">C$66</f>
        <v>2.92E-2</v>
      </c>
      <c r="L97" s="431">
        <f t="shared" si="19"/>
        <v>2.7199999999999998E-2</v>
      </c>
      <c r="M97" s="431">
        <f t="shared" si="19"/>
        <v>2.5499999999999998E-2</v>
      </c>
      <c r="N97" s="431">
        <f t="shared" si="19"/>
        <v>2.3800000000000002E-2</v>
      </c>
      <c r="O97" s="431">
        <f t="shared" si="19"/>
        <v>2.2200000000000001E-2</v>
      </c>
      <c r="P97" s="431">
        <f t="shared" si="19"/>
        <v>1.9099999999999999E-2</v>
      </c>
      <c r="Q97" s="431">
        <f t="shared" si="19"/>
        <v>1.5800000000000002E-2</v>
      </c>
      <c r="R97" s="431">
        <f t="shared" si="19"/>
        <v>1.09E-2</v>
      </c>
      <c r="S97" s="554"/>
      <c r="T97" s="555"/>
    </row>
    <row r="98" spans="1:20">
      <c r="A98" s="60" t="s">
        <v>174</v>
      </c>
      <c r="B98" s="72" t="s">
        <v>112</v>
      </c>
      <c r="C98" s="306">
        <v>7.0000000000000007E-2</v>
      </c>
      <c r="D98" s="307">
        <v>0.46889999999999998</v>
      </c>
      <c r="E98" s="308">
        <v>0.6</v>
      </c>
      <c r="F98" s="308">
        <v>0.27900000000000003</v>
      </c>
      <c r="G98" s="325">
        <v>2014</v>
      </c>
      <c r="H98" s="326" t="str">
        <f>VLOOKUP($A98,$E$54:$F$57,2,FALSE)</f>
        <v>£m 09/10</v>
      </c>
      <c r="I98" s="323" t="s">
        <v>270</v>
      </c>
      <c r="J98" s="423" t="s">
        <v>484</v>
      </c>
      <c r="K98" s="433">
        <f t="shared" si="19"/>
        <v>2.92E-2</v>
      </c>
      <c r="L98" s="431">
        <f t="shared" si="19"/>
        <v>2.7199999999999998E-2</v>
      </c>
      <c r="M98" s="431">
        <f t="shared" si="19"/>
        <v>2.5499999999999998E-2</v>
      </c>
      <c r="N98" s="431">
        <f t="shared" si="19"/>
        <v>2.3800000000000002E-2</v>
      </c>
      <c r="O98" s="431">
        <f t="shared" si="19"/>
        <v>2.2200000000000001E-2</v>
      </c>
      <c r="P98" s="431">
        <f t="shared" si="19"/>
        <v>1.9099999999999999E-2</v>
      </c>
      <c r="Q98" s="431">
        <f t="shared" si="19"/>
        <v>1.5800000000000002E-2</v>
      </c>
      <c r="R98" s="431">
        <f t="shared" si="19"/>
        <v>1.09E-2</v>
      </c>
      <c r="S98" s="554"/>
      <c r="T98" s="555"/>
    </row>
    <row r="99" spans="1:20">
      <c r="A99" s="60" t="s">
        <v>174</v>
      </c>
      <c r="B99" s="72" t="s">
        <v>60</v>
      </c>
      <c r="C99" s="306">
        <v>7.0000000000000007E-2</v>
      </c>
      <c r="D99" s="307">
        <v>0.5</v>
      </c>
      <c r="E99" s="308">
        <v>0.55000000000000004</v>
      </c>
      <c r="F99" s="308">
        <v>0.9</v>
      </c>
      <c r="G99" s="325">
        <v>2014</v>
      </c>
      <c r="H99" s="326" t="str">
        <f>VLOOKUP($A99,$E$54:$F$57,2,FALSE)</f>
        <v>£m 09/10</v>
      </c>
      <c r="I99" s="323" t="s">
        <v>271</v>
      </c>
      <c r="J99" s="423" t="s">
        <v>484</v>
      </c>
      <c r="K99" s="433">
        <f t="shared" si="19"/>
        <v>2.92E-2</v>
      </c>
      <c r="L99" s="431">
        <f t="shared" si="19"/>
        <v>2.7199999999999998E-2</v>
      </c>
      <c r="M99" s="431">
        <f t="shared" si="19"/>
        <v>2.5499999999999998E-2</v>
      </c>
      <c r="N99" s="431">
        <f t="shared" si="19"/>
        <v>2.3800000000000002E-2</v>
      </c>
      <c r="O99" s="431">
        <f t="shared" si="19"/>
        <v>2.2200000000000001E-2</v>
      </c>
      <c r="P99" s="431">
        <f t="shared" si="19"/>
        <v>1.9099999999999999E-2</v>
      </c>
      <c r="Q99" s="431">
        <f t="shared" si="19"/>
        <v>1.5800000000000002E-2</v>
      </c>
      <c r="R99" s="431">
        <f t="shared" si="19"/>
        <v>1.09E-2</v>
      </c>
      <c r="S99" s="554"/>
      <c r="T99" s="555"/>
    </row>
    <row r="100" spans="1:20">
      <c r="A100" s="60" t="s">
        <v>174</v>
      </c>
      <c r="B100" s="73" t="s">
        <v>61</v>
      </c>
      <c r="C100" s="309">
        <v>7.0000000000000007E-2</v>
      </c>
      <c r="D100" s="310">
        <v>0.5</v>
      </c>
      <c r="E100" s="311">
        <v>0.55000000000000004</v>
      </c>
      <c r="F100" s="311">
        <v>0.9</v>
      </c>
      <c r="G100" s="327">
        <v>2014</v>
      </c>
      <c r="H100" s="328" t="str">
        <f>VLOOKUP($A100,$E$54:$F$57,2,FALSE)</f>
        <v>£m 09/10</v>
      </c>
      <c r="I100" s="324" t="s">
        <v>271</v>
      </c>
      <c r="J100" s="423" t="s">
        <v>484</v>
      </c>
      <c r="K100" s="434">
        <f t="shared" ref="K100:R100" si="20">C$65</f>
        <v>2.92E-2</v>
      </c>
      <c r="L100" s="432">
        <f t="shared" si="20"/>
        <v>2.5000000000000001E-2</v>
      </c>
      <c r="M100" s="432">
        <f t="shared" si="20"/>
        <v>2.1499999999999998E-2</v>
      </c>
      <c r="N100" s="432">
        <f t="shared" si="20"/>
        <v>1.7899999999999999E-2</v>
      </c>
      <c r="O100" s="432">
        <f t="shared" si="20"/>
        <v>1.5100000000000001E-2</v>
      </c>
      <c r="P100" s="432">
        <f t="shared" si="20"/>
        <v>1.1599999999999999E-2</v>
      </c>
      <c r="Q100" s="432">
        <f t="shared" si="20"/>
        <v>1.0200000000000001E-2</v>
      </c>
      <c r="R100" s="432">
        <f t="shared" si="20"/>
        <v>8.3000000000000001E-3</v>
      </c>
      <c r="S100" s="556"/>
      <c r="T100" s="557"/>
    </row>
    <row r="101" spans="1:20">
      <c r="I101" s="67"/>
    </row>
    <row r="102" spans="1:20">
      <c r="I102" s="67"/>
    </row>
    <row r="103" spans="1:20">
      <c r="I103" s="67"/>
    </row>
    <row r="104" spans="1:20">
      <c r="B104" s="14" t="s">
        <v>250</v>
      </c>
      <c r="D104" s="297"/>
      <c r="E104" s="297"/>
      <c r="F104" s="297"/>
      <c r="G104" s="297"/>
      <c r="H104" s="297"/>
      <c r="I104" s="297"/>
      <c r="J104" s="297"/>
    </row>
    <row r="105" spans="1:20">
      <c r="B105" s="14"/>
      <c r="C105" s="116">
        <v>2014</v>
      </c>
      <c r="D105" s="117">
        <f>C105+1</f>
        <v>2015</v>
      </c>
      <c r="E105" s="117">
        <f t="shared" ref="E105:J105" si="21">D105+1</f>
        <v>2016</v>
      </c>
      <c r="F105" s="117">
        <f>E105+1</f>
        <v>2017</v>
      </c>
      <c r="G105" s="117">
        <f t="shared" si="21"/>
        <v>2018</v>
      </c>
      <c r="H105" s="117">
        <f t="shared" si="21"/>
        <v>2019</v>
      </c>
      <c r="I105" s="117">
        <f t="shared" si="21"/>
        <v>2020</v>
      </c>
      <c r="J105" s="117">
        <f t="shared" si="21"/>
        <v>2021</v>
      </c>
    </row>
    <row r="106" spans="1:20">
      <c r="B106" s="301" t="s">
        <v>53</v>
      </c>
      <c r="C106" s="298">
        <v>0.5</v>
      </c>
      <c r="D106" s="298">
        <v>0.5714285714285714</v>
      </c>
      <c r="E106" s="298">
        <v>0.64285714285714279</v>
      </c>
      <c r="F106" s="298">
        <v>0.71428571428571419</v>
      </c>
      <c r="G106" s="298">
        <v>0.78571428571428559</v>
      </c>
      <c r="H106" s="298">
        <v>0.85714285714285698</v>
      </c>
      <c r="I106" s="298">
        <v>0.92857142857142838</v>
      </c>
      <c r="J106" s="299">
        <v>1</v>
      </c>
    </row>
    <row r="107" spans="1:20">
      <c r="B107" s="302" t="s">
        <v>54</v>
      </c>
      <c r="C107" s="218">
        <v>0.5</v>
      </c>
      <c r="D107" s="218">
        <v>0.5714285714285714</v>
      </c>
      <c r="E107" s="218">
        <v>0.64285714285714279</v>
      </c>
      <c r="F107" s="218">
        <v>0.71428571428571419</v>
      </c>
      <c r="G107" s="218">
        <v>0.78571428571428559</v>
      </c>
      <c r="H107" s="218">
        <v>0.85714285714285698</v>
      </c>
      <c r="I107" s="218">
        <v>0.92857142857142838</v>
      </c>
      <c r="J107" s="219">
        <v>1</v>
      </c>
    </row>
    <row r="108" spans="1:20">
      <c r="B108" s="302" t="s">
        <v>55</v>
      </c>
      <c r="C108" s="218">
        <v>0.5</v>
      </c>
      <c r="D108" s="218">
        <v>0.5714285714285714</v>
      </c>
      <c r="E108" s="218">
        <v>0.64285714285714279</v>
      </c>
      <c r="F108" s="218">
        <v>0.71428571428571419</v>
      </c>
      <c r="G108" s="218">
        <v>0.78571428571428559</v>
      </c>
      <c r="H108" s="218">
        <v>0.85714285714285698</v>
      </c>
      <c r="I108" s="218">
        <v>0.92857142857142838</v>
      </c>
      <c r="J108" s="219">
        <v>1</v>
      </c>
    </row>
    <row r="109" spans="1:20">
      <c r="B109" s="302" t="s">
        <v>56</v>
      </c>
      <c r="C109" s="218">
        <v>0.5</v>
      </c>
      <c r="D109" s="218">
        <v>0.5714285714285714</v>
      </c>
      <c r="E109" s="218">
        <v>0.64285714285714279</v>
      </c>
      <c r="F109" s="218">
        <v>0.71428571428571419</v>
      </c>
      <c r="G109" s="218">
        <v>0.78571428571428559</v>
      </c>
      <c r="H109" s="218">
        <v>0.85714285714285698</v>
      </c>
      <c r="I109" s="218">
        <v>0.92857142857142838</v>
      </c>
      <c r="J109" s="219">
        <v>1</v>
      </c>
    </row>
    <row r="110" spans="1:20">
      <c r="B110" s="302" t="s">
        <v>50</v>
      </c>
      <c r="C110" s="218">
        <v>0.5</v>
      </c>
      <c r="D110" s="218">
        <v>0.5714285714285714</v>
      </c>
      <c r="E110" s="218">
        <v>0.64285714285714279</v>
      </c>
      <c r="F110" s="218">
        <v>0.71428571428571419</v>
      </c>
      <c r="G110" s="218">
        <v>0.78571428571428559</v>
      </c>
      <c r="H110" s="218">
        <v>0.85714285714285698</v>
      </c>
      <c r="I110" s="218">
        <v>0.92857142857142838</v>
      </c>
      <c r="J110" s="219">
        <v>1</v>
      </c>
    </row>
    <row r="111" spans="1:20">
      <c r="B111" s="302" t="s">
        <v>52</v>
      </c>
      <c r="C111" s="218">
        <v>0.5</v>
      </c>
      <c r="D111" s="218">
        <v>0.5714285714285714</v>
      </c>
      <c r="E111" s="218">
        <v>0.64285714285714279</v>
      </c>
      <c r="F111" s="218">
        <v>0.71428571428571419</v>
      </c>
      <c r="G111" s="218">
        <v>0.78571428571428559</v>
      </c>
      <c r="H111" s="218">
        <v>0.85714285714285698</v>
      </c>
      <c r="I111" s="218">
        <v>0.92857142857142838</v>
      </c>
      <c r="J111" s="219">
        <v>1</v>
      </c>
    </row>
    <row r="112" spans="1:20">
      <c r="B112" s="302" t="s">
        <v>51</v>
      </c>
      <c r="C112" s="218">
        <v>0.5</v>
      </c>
      <c r="D112" s="218">
        <v>0.5714285714285714</v>
      </c>
      <c r="E112" s="218">
        <v>0.64285714285714279</v>
      </c>
      <c r="F112" s="218">
        <v>0.71428571428571419</v>
      </c>
      <c r="G112" s="218">
        <v>0.78571428571428559</v>
      </c>
      <c r="H112" s="218">
        <v>0.85714285714285698</v>
      </c>
      <c r="I112" s="218">
        <v>0.92857142857142838</v>
      </c>
      <c r="J112" s="219">
        <v>1</v>
      </c>
    </row>
    <row r="113" spans="2:15">
      <c r="B113" s="416" t="s">
        <v>49</v>
      </c>
      <c r="C113" s="417">
        <v>0.5</v>
      </c>
      <c r="D113" s="417">
        <v>0.5714285714285714</v>
      </c>
      <c r="E113" s="417">
        <v>0.64285714285714279</v>
      </c>
      <c r="F113" s="417">
        <v>0.71428571428571419</v>
      </c>
      <c r="G113" s="417">
        <v>0.78571428571428559</v>
      </c>
      <c r="H113" s="417">
        <v>0.85714285714285698</v>
      </c>
      <c r="I113" s="417">
        <v>0.92857142857142838</v>
      </c>
      <c r="J113" s="418">
        <v>1</v>
      </c>
    </row>
    <row r="114" spans="2:15">
      <c r="B114" s="302" t="s">
        <v>113</v>
      </c>
      <c r="C114" s="218">
        <v>0.9</v>
      </c>
      <c r="D114" s="218">
        <v>0.9</v>
      </c>
      <c r="E114" s="218">
        <v>0.9</v>
      </c>
      <c r="F114" s="218">
        <v>0.9</v>
      </c>
      <c r="G114" s="218">
        <v>0.9</v>
      </c>
      <c r="H114" s="218">
        <v>0.9</v>
      </c>
      <c r="I114" s="218">
        <v>0.9</v>
      </c>
      <c r="J114" s="219">
        <v>0.9</v>
      </c>
    </row>
    <row r="115" spans="2:15">
      <c r="B115" s="303" t="s">
        <v>114</v>
      </c>
      <c r="C115" s="561"/>
      <c r="D115" s="561"/>
      <c r="E115" s="561"/>
      <c r="F115" s="561"/>
      <c r="G115" s="561"/>
      <c r="H115" s="561"/>
      <c r="I115" s="561"/>
      <c r="J115" s="561"/>
    </row>
    <row r="116" spans="2:15">
      <c r="B116" s="398"/>
      <c r="C116" s="457"/>
      <c r="D116" s="457"/>
      <c r="E116" s="457"/>
      <c r="F116" s="457"/>
      <c r="G116" s="457"/>
      <c r="H116" s="457"/>
      <c r="I116" s="457"/>
      <c r="J116" s="457"/>
      <c r="M116" s="31"/>
      <c r="N116" s="31"/>
      <c r="O116" s="31"/>
    </row>
    <row r="117" spans="2:15">
      <c r="B117" s="398"/>
      <c r="C117" s="457"/>
      <c r="D117" s="457"/>
      <c r="E117" s="457"/>
      <c r="F117" s="457"/>
      <c r="G117" s="457"/>
      <c r="H117" s="457"/>
      <c r="I117" s="457"/>
      <c r="J117" s="457"/>
      <c r="K117" s="364"/>
      <c r="L117" s="364"/>
      <c r="M117" s="31"/>
      <c r="N117" s="31"/>
      <c r="O117" s="31"/>
    </row>
    <row r="118" spans="2:15">
      <c r="B118" s="467" t="s">
        <v>214</v>
      </c>
      <c r="C118" s="116">
        <v>2014</v>
      </c>
      <c r="D118" s="117">
        <f t="shared" ref="D118:L118" si="22">C118+1</f>
        <v>2015</v>
      </c>
      <c r="E118" s="117">
        <f t="shared" si="22"/>
        <v>2016</v>
      </c>
      <c r="F118" s="117">
        <f t="shared" si="22"/>
        <v>2017</v>
      </c>
      <c r="G118" s="117">
        <f t="shared" si="22"/>
        <v>2018</v>
      </c>
      <c r="H118" s="117">
        <f t="shared" si="22"/>
        <v>2019</v>
      </c>
      <c r="I118" s="117">
        <f t="shared" si="22"/>
        <v>2020</v>
      </c>
      <c r="J118" s="117">
        <f t="shared" si="22"/>
        <v>2021</v>
      </c>
      <c r="K118" s="117">
        <f t="shared" si="22"/>
        <v>2022</v>
      </c>
      <c r="L118" s="194">
        <f t="shared" si="22"/>
        <v>2023</v>
      </c>
      <c r="M118" s="31"/>
      <c r="N118" s="31"/>
      <c r="O118" s="31"/>
    </row>
    <row r="119" spans="2:15">
      <c r="B119" s="458" t="s">
        <v>43</v>
      </c>
      <c r="C119" s="558"/>
      <c r="D119" s="559"/>
      <c r="E119" s="460">
        <v>1.5575632164737283</v>
      </c>
      <c r="F119" s="460">
        <v>1.4734141240658321</v>
      </c>
      <c r="G119" s="460">
        <v>1.4689588897025405</v>
      </c>
      <c r="H119" s="460">
        <v>1.4707200530126929</v>
      </c>
      <c r="I119" s="460">
        <v>1.4674716260161711</v>
      </c>
      <c r="J119" s="460">
        <v>1.4486206224386007</v>
      </c>
      <c r="K119" s="460">
        <v>1.4956798325868756</v>
      </c>
      <c r="L119" s="461">
        <v>1.4397148718051931</v>
      </c>
      <c r="M119" s="31"/>
      <c r="N119" s="31"/>
      <c r="O119" s="31"/>
    </row>
    <row r="120" spans="2:15">
      <c r="B120" s="458" t="s">
        <v>44</v>
      </c>
      <c r="C120" s="560"/>
      <c r="D120" s="561"/>
      <c r="E120" s="462">
        <v>-0.65871781800535345</v>
      </c>
      <c r="F120" s="462">
        <v>-0.63543772576063684</v>
      </c>
      <c r="G120" s="462">
        <v>-0.58907862874233818</v>
      </c>
      <c r="H120" s="462">
        <v>-0.58178188190178026</v>
      </c>
      <c r="I120" s="462">
        <v>-0.56823918867341305</v>
      </c>
      <c r="J120" s="462">
        <v>-0.51933170333654122</v>
      </c>
      <c r="K120" s="462">
        <v>-0.47962665852661612</v>
      </c>
      <c r="L120" s="463">
        <v>-0.4656874701170608</v>
      </c>
      <c r="M120" s="31"/>
      <c r="N120" s="31"/>
      <c r="O120" s="31"/>
    </row>
    <row r="121" spans="2:15">
      <c r="B121" s="458" t="s">
        <v>73</v>
      </c>
      <c r="C121" s="560"/>
      <c r="D121" s="561"/>
      <c r="E121" s="462">
        <v>-0.86626036283610952</v>
      </c>
      <c r="F121" s="462">
        <v>-0.81019773780890636</v>
      </c>
      <c r="G121" s="462">
        <v>-0.78919084241395188</v>
      </c>
      <c r="H121" s="462">
        <v>-0.79061873066036981</v>
      </c>
      <c r="I121" s="462">
        <v>-0.74432653414361061</v>
      </c>
      <c r="J121" s="462">
        <v>-0.70697274816976396</v>
      </c>
      <c r="K121" s="462">
        <v>-0.65350946162011747</v>
      </c>
      <c r="L121" s="463">
        <v>-0.66429758885743451</v>
      </c>
      <c r="M121" s="31"/>
      <c r="N121" s="31"/>
      <c r="O121" s="31"/>
    </row>
    <row r="122" spans="2:15">
      <c r="B122" s="458" t="s">
        <v>59</v>
      </c>
      <c r="C122" s="560"/>
      <c r="D122" s="561"/>
      <c r="E122" s="462">
        <v>-3.2612134183503572</v>
      </c>
      <c r="F122" s="462">
        <v>-3.3462554451402173</v>
      </c>
      <c r="G122" s="462">
        <v>-3.1732919768141143</v>
      </c>
      <c r="H122" s="462">
        <v>-3.1232404745251841</v>
      </c>
      <c r="I122" s="462">
        <v>-3.0767551306224106</v>
      </c>
      <c r="J122" s="462">
        <v>-2.9342177182087767</v>
      </c>
      <c r="K122" s="462">
        <v>-2.8825938479182072</v>
      </c>
      <c r="L122" s="463">
        <v>-2.7237011003750218</v>
      </c>
      <c r="M122" s="31"/>
      <c r="N122" s="31"/>
      <c r="O122" s="31"/>
    </row>
    <row r="123" spans="2:15">
      <c r="B123" s="458" t="s">
        <v>57</v>
      </c>
      <c r="C123" s="560"/>
      <c r="D123" s="561"/>
      <c r="E123" s="462">
        <v>-2.4260972367898193</v>
      </c>
      <c r="F123" s="462">
        <v>-2.3690383662844163</v>
      </c>
      <c r="G123" s="462">
        <v>-2.2433276600060932</v>
      </c>
      <c r="H123" s="462">
        <v>-2.1466020621213828</v>
      </c>
      <c r="I123" s="462">
        <v>-2.174009678716605</v>
      </c>
      <c r="J123" s="462">
        <v>-2.0538927838998693</v>
      </c>
      <c r="K123" s="462">
        <v>-1.9044581231060691</v>
      </c>
      <c r="L123" s="463">
        <v>-1.8008611131009082</v>
      </c>
      <c r="M123" s="31"/>
      <c r="N123" s="31"/>
      <c r="O123" s="31"/>
    </row>
    <row r="124" spans="2:15">
      <c r="B124" s="458" t="s">
        <v>58</v>
      </c>
      <c r="C124" s="560"/>
      <c r="D124" s="561"/>
      <c r="E124" s="462">
        <v>-2.1861012409352765</v>
      </c>
      <c r="F124" s="462">
        <v>-2.3820447425774849</v>
      </c>
      <c r="G124" s="462">
        <v>-2.2418672366929897</v>
      </c>
      <c r="H124" s="462">
        <v>-2.1147812646907029</v>
      </c>
      <c r="I124" s="462">
        <v>-2.0146177086326591</v>
      </c>
      <c r="J124" s="462">
        <v>-1.9421313262105093</v>
      </c>
      <c r="K124" s="462">
        <v>-1.9248856430948595</v>
      </c>
      <c r="L124" s="463">
        <v>-1.8464451304225615</v>
      </c>
      <c r="M124" s="31"/>
      <c r="N124" s="31"/>
      <c r="O124" s="31"/>
    </row>
    <row r="125" spans="2:15">
      <c r="B125" s="458" t="s">
        <v>45</v>
      </c>
      <c r="C125" s="560"/>
      <c r="D125" s="561"/>
      <c r="E125" s="462">
        <v>-1.8633532543800757</v>
      </c>
      <c r="F125" s="462">
        <v>-1.8182980405067262</v>
      </c>
      <c r="G125" s="462">
        <v>-1.83946756302578</v>
      </c>
      <c r="H125" s="462">
        <v>-1.7415973428180247</v>
      </c>
      <c r="I125" s="462">
        <v>-1.6798002111470465</v>
      </c>
      <c r="J125" s="462">
        <v>-1.5974456358596774</v>
      </c>
      <c r="K125" s="462">
        <v>-1.5016396120831343</v>
      </c>
      <c r="L125" s="463">
        <v>-1.4453638876860204</v>
      </c>
      <c r="M125" s="31"/>
      <c r="N125" s="31"/>
      <c r="O125" s="31"/>
    </row>
    <row r="126" spans="2:15">
      <c r="B126" s="458" t="s">
        <v>46</v>
      </c>
      <c r="C126" s="560"/>
      <c r="D126" s="561"/>
      <c r="E126" s="462">
        <v>-2.1317145269512103</v>
      </c>
      <c r="F126" s="462">
        <v>-2.193973633026753</v>
      </c>
      <c r="G126" s="462">
        <v>-1.9869010217130036</v>
      </c>
      <c r="H126" s="462">
        <v>-1.8037552784318813</v>
      </c>
      <c r="I126" s="462">
        <v>-1.7767942495618843</v>
      </c>
      <c r="J126" s="462">
        <v>-1.7901472583807538</v>
      </c>
      <c r="K126" s="462">
        <v>-1.6444113686346382</v>
      </c>
      <c r="L126" s="463">
        <v>-1.467384504290556</v>
      </c>
      <c r="M126" s="31"/>
      <c r="N126" s="31"/>
      <c r="O126" s="31"/>
    </row>
    <row r="127" spans="2:15">
      <c r="B127" s="458" t="s">
        <v>47</v>
      </c>
      <c r="C127" s="560"/>
      <c r="D127" s="561"/>
      <c r="E127" s="462">
        <v>0.16599721814464838</v>
      </c>
      <c r="F127" s="462">
        <v>0.16631900606776751</v>
      </c>
      <c r="G127" s="462">
        <v>0.16554337895881124</v>
      </c>
      <c r="H127" s="462">
        <v>0.16569741136821181</v>
      </c>
      <c r="I127" s="462">
        <v>0.16622630759870036</v>
      </c>
      <c r="J127" s="462">
        <v>0.16380302414374548</v>
      </c>
      <c r="K127" s="462">
        <v>0.16593344617950709</v>
      </c>
      <c r="L127" s="463">
        <v>0.16036688822048883</v>
      </c>
      <c r="M127" s="31"/>
      <c r="N127" s="31"/>
      <c r="O127" s="31"/>
    </row>
    <row r="128" spans="2:15">
      <c r="B128" s="458" t="s">
        <v>48</v>
      </c>
      <c r="C128" s="560"/>
      <c r="D128" s="561"/>
      <c r="E128" s="462">
        <v>0.3648271976377423</v>
      </c>
      <c r="F128" s="462">
        <v>0.37109083837102003</v>
      </c>
      <c r="G128" s="462">
        <v>0.36071859106606846</v>
      </c>
      <c r="H128" s="462">
        <v>0.35927814835295946</v>
      </c>
      <c r="I128" s="462">
        <v>0.3227419487574148</v>
      </c>
      <c r="J128" s="462">
        <v>0.32139075529498529</v>
      </c>
      <c r="K128" s="462">
        <v>0.32876178406363676</v>
      </c>
      <c r="L128" s="463">
        <v>0.31920430794598709</v>
      </c>
      <c r="M128" s="31"/>
      <c r="N128" s="31"/>
      <c r="O128" s="31"/>
    </row>
    <row r="129" spans="2:15">
      <c r="B129" s="458" t="s">
        <v>246</v>
      </c>
      <c r="C129" s="560"/>
      <c r="D129" s="561"/>
      <c r="E129" s="462">
        <v>7.1281196754416492</v>
      </c>
      <c r="F129" s="462">
        <v>6.9674138399666772</v>
      </c>
      <c r="G129" s="462">
        <v>6.2034025893135132</v>
      </c>
      <c r="H129" s="462">
        <v>6.3085978915797085</v>
      </c>
      <c r="I129" s="462">
        <v>6.2376648400128394</v>
      </c>
      <c r="J129" s="462">
        <v>6.4865819943041139</v>
      </c>
      <c r="K129" s="462">
        <v>6.8152516624832584</v>
      </c>
      <c r="L129" s="463">
        <v>6.6271056201039169</v>
      </c>
      <c r="M129" s="31"/>
      <c r="N129" s="31"/>
      <c r="O129" s="31"/>
    </row>
    <row r="130" spans="2:15">
      <c r="B130" s="458" t="s">
        <v>247</v>
      </c>
      <c r="C130" s="560"/>
      <c r="D130" s="561"/>
      <c r="E130" s="462">
        <v>6.5079014730517413</v>
      </c>
      <c r="F130" s="462">
        <v>6.5166167406950333</v>
      </c>
      <c r="G130" s="462">
        <v>6.3292456496722922</v>
      </c>
      <c r="H130" s="462">
        <v>6.4407397408462082</v>
      </c>
      <c r="I130" s="462">
        <v>6.6367331985058957</v>
      </c>
      <c r="J130" s="462">
        <v>6.7568163761394304</v>
      </c>
      <c r="K130" s="462">
        <v>6.6961234445143969</v>
      </c>
      <c r="L130" s="463">
        <v>6.7647427548792596</v>
      </c>
      <c r="M130" s="31"/>
      <c r="N130" s="31"/>
      <c r="O130" s="31"/>
    </row>
    <row r="131" spans="2:15">
      <c r="B131" s="458" t="s">
        <v>248</v>
      </c>
      <c r="C131" s="560"/>
      <c r="D131" s="561"/>
      <c r="E131" s="462">
        <v>3.6763138465229663</v>
      </c>
      <c r="F131" s="462">
        <v>3.6748350873956013</v>
      </c>
      <c r="G131" s="462">
        <v>3.4998529635433906</v>
      </c>
      <c r="H131" s="462">
        <v>3.724685546648324</v>
      </c>
      <c r="I131" s="462">
        <v>3.4121739487309477</v>
      </c>
      <c r="J131" s="462">
        <v>3.4202241027689042</v>
      </c>
      <c r="K131" s="462">
        <v>3.3053549439575329</v>
      </c>
      <c r="L131" s="463">
        <v>3.3633285641010966</v>
      </c>
      <c r="M131" s="31"/>
      <c r="N131" s="31"/>
      <c r="O131" s="31"/>
    </row>
    <row r="132" spans="2:15">
      <c r="B132" s="458" t="s">
        <v>249</v>
      </c>
      <c r="C132" s="560"/>
      <c r="D132" s="561"/>
      <c r="E132" s="462">
        <v>5.3762701961708466</v>
      </c>
      <c r="F132" s="462">
        <v>5.3775969760840585</v>
      </c>
      <c r="G132" s="462">
        <v>5.2618102801807671</v>
      </c>
      <c r="H132" s="462">
        <v>5.360849180672294</v>
      </c>
      <c r="I132" s="462">
        <v>5.2665238228731912</v>
      </c>
      <c r="J132" s="462">
        <v>5.3271179030285305</v>
      </c>
      <c r="K132" s="462">
        <v>5.3223294006601192</v>
      </c>
      <c r="L132" s="463">
        <v>5.5699880746272257</v>
      </c>
      <c r="M132" s="31"/>
      <c r="N132" s="31"/>
      <c r="O132" s="31"/>
    </row>
    <row r="133" spans="2:15">
      <c r="B133" s="458" t="s">
        <v>53</v>
      </c>
      <c r="C133" s="464">
        <v>1.4371556068940596</v>
      </c>
      <c r="D133" s="462">
        <v>1.3718015630879741</v>
      </c>
      <c r="E133" s="462">
        <v>1.3507660107019517</v>
      </c>
      <c r="F133" s="462">
        <v>1.356812198977974</v>
      </c>
      <c r="G133" s="462">
        <v>1.3598136386487443</v>
      </c>
      <c r="H133" s="462">
        <v>1.3501475065962032</v>
      </c>
      <c r="I133" s="462">
        <v>1.3298433305384654</v>
      </c>
      <c r="J133" s="462">
        <v>1.3174540960763355</v>
      </c>
      <c r="K133" s="561"/>
      <c r="L133" s="562"/>
      <c r="M133" s="31"/>
      <c r="N133" s="31"/>
      <c r="O133" s="31"/>
    </row>
    <row r="134" spans="2:15">
      <c r="B134" s="458" t="s">
        <v>54</v>
      </c>
      <c r="C134" s="464">
        <v>1.2224510767557433</v>
      </c>
      <c r="D134" s="462">
        <v>1.2198157429394254</v>
      </c>
      <c r="E134" s="462">
        <v>1.2942164825881293</v>
      </c>
      <c r="F134" s="462">
        <v>1.2596396269108345</v>
      </c>
      <c r="G134" s="462">
        <v>1.2840112184368913</v>
      </c>
      <c r="H134" s="462">
        <v>1.2678511857965422</v>
      </c>
      <c r="I134" s="462">
        <v>1.2592019055105816</v>
      </c>
      <c r="J134" s="462">
        <v>1.257376658609527</v>
      </c>
      <c r="K134" s="561"/>
      <c r="L134" s="562"/>
      <c r="M134" s="31"/>
      <c r="N134" s="31"/>
      <c r="O134" s="31"/>
    </row>
    <row r="135" spans="2:15">
      <c r="B135" s="458" t="s">
        <v>55</v>
      </c>
      <c r="C135" s="464">
        <v>0.82325002294811445</v>
      </c>
      <c r="D135" s="462">
        <v>0.82663571281128501</v>
      </c>
      <c r="E135" s="462">
        <v>0.79640504595610451</v>
      </c>
      <c r="F135" s="462">
        <v>0.78757021450124798</v>
      </c>
      <c r="G135" s="462">
        <v>0.81133252861207505</v>
      </c>
      <c r="H135" s="462">
        <v>0.81064228783969072</v>
      </c>
      <c r="I135" s="462">
        <v>0.80900368952296353</v>
      </c>
      <c r="J135" s="462">
        <v>0.78043276967968189</v>
      </c>
      <c r="K135" s="561"/>
      <c r="L135" s="562"/>
      <c r="M135" s="31"/>
      <c r="N135" s="31"/>
      <c r="O135" s="31"/>
    </row>
    <row r="136" spans="2:15">
      <c r="B136" s="458" t="s">
        <v>56</v>
      </c>
      <c r="C136" s="464">
        <v>1.0893959849781105</v>
      </c>
      <c r="D136" s="462">
        <v>1.027913194554035</v>
      </c>
      <c r="E136" s="462">
        <v>1.0066987144123654</v>
      </c>
      <c r="F136" s="462">
        <v>1.0192350900597893</v>
      </c>
      <c r="G136" s="462">
        <v>1.0341480780318344</v>
      </c>
      <c r="H136" s="462">
        <v>1.0204240792759967</v>
      </c>
      <c r="I136" s="462">
        <v>1.0137739549704501</v>
      </c>
      <c r="J136" s="462">
        <v>0.9898055017218621</v>
      </c>
      <c r="K136" s="561"/>
      <c r="L136" s="562"/>
      <c r="M136" s="31"/>
      <c r="N136" s="31"/>
      <c r="O136" s="31"/>
    </row>
    <row r="137" spans="2:15">
      <c r="B137" s="458" t="s">
        <v>50</v>
      </c>
      <c r="C137" s="464">
        <v>3.0675250143183739</v>
      </c>
      <c r="D137" s="462">
        <v>3.1629219417602221</v>
      </c>
      <c r="E137" s="462">
        <v>3.2156604222069194</v>
      </c>
      <c r="F137" s="462">
        <v>3.1773534622131239</v>
      </c>
      <c r="G137" s="462">
        <v>2.9925267771957293</v>
      </c>
      <c r="H137" s="462">
        <v>2.9953978987575276</v>
      </c>
      <c r="I137" s="462">
        <v>3.008780645638939</v>
      </c>
      <c r="J137" s="462">
        <v>3.0035530345258876</v>
      </c>
      <c r="K137" s="561"/>
      <c r="L137" s="562"/>
      <c r="M137" s="31"/>
      <c r="N137" s="31"/>
      <c r="O137" s="31"/>
    </row>
    <row r="138" spans="2:15">
      <c r="B138" s="458" t="s">
        <v>52</v>
      </c>
      <c r="C138" s="464">
        <v>2.1240897362733717</v>
      </c>
      <c r="D138" s="462">
        <v>2.0350723340362249</v>
      </c>
      <c r="E138" s="462">
        <v>1.9686998072928457</v>
      </c>
      <c r="F138" s="462">
        <v>2.0858456765056492</v>
      </c>
      <c r="G138" s="462">
        <v>2.1150393198028121</v>
      </c>
      <c r="H138" s="462">
        <v>2.0960407823683633</v>
      </c>
      <c r="I138" s="462">
        <v>1.9709648894580449</v>
      </c>
      <c r="J138" s="462">
        <v>1.9558237270696361</v>
      </c>
      <c r="K138" s="561"/>
      <c r="L138" s="562"/>
      <c r="M138" s="31"/>
      <c r="N138" s="31"/>
      <c r="O138" s="31"/>
    </row>
    <row r="139" spans="2:15">
      <c r="B139" s="458" t="s">
        <v>51</v>
      </c>
      <c r="C139" s="464">
        <v>4.3724011747736116</v>
      </c>
      <c r="D139" s="462">
        <v>4.1057641662653896</v>
      </c>
      <c r="E139" s="462">
        <v>4.0545669929819539</v>
      </c>
      <c r="F139" s="462">
        <v>4.1740927460581894</v>
      </c>
      <c r="G139" s="462">
        <v>4.2397101975440528</v>
      </c>
      <c r="H139" s="462">
        <v>4.2461477210751069</v>
      </c>
      <c r="I139" s="462">
        <v>4.1078523076276792</v>
      </c>
      <c r="J139" s="462">
        <v>4.0575944965475035</v>
      </c>
      <c r="K139" s="561"/>
      <c r="L139" s="562"/>
      <c r="M139" s="31"/>
      <c r="N139" s="31"/>
      <c r="O139" s="31"/>
    </row>
    <row r="140" spans="2:15">
      <c r="B140" s="458" t="s">
        <v>49</v>
      </c>
      <c r="C140" s="464">
        <v>1.3982776671905828</v>
      </c>
      <c r="D140" s="462">
        <v>1.3864649866746799</v>
      </c>
      <c r="E140" s="462">
        <v>1.3673040530931269</v>
      </c>
      <c r="F140" s="462">
        <v>1.3493453776780693</v>
      </c>
      <c r="G140" s="462">
        <v>1.3347777856873293</v>
      </c>
      <c r="H140" s="462">
        <v>1.3354887108693174</v>
      </c>
      <c r="I140" s="462">
        <v>1.3597799661606067</v>
      </c>
      <c r="J140" s="462">
        <v>1.3515240072037848</v>
      </c>
      <c r="K140" s="561"/>
      <c r="L140" s="562"/>
      <c r="M140" s="31"/>
      <c r="N140" s="31"/>
      <c r="O140" s="31"/>
    </row>
    <row r="141" spans="2:15">
      <c r="B141" s="458" t="s">
        <v>113</v>
      </c>
      <c r="C141" s="464">
        <v>-1.1295718210052885</v>
      </c>
      <c r="D141" s="462">
        <v>-1.1444007312827333</v>
      </c>
      <c r="E141" s="462">
        <v>-1.1763817360750841</v>
      </c>
      <c r="F141" s="462">
        <v>-1.5927557463957547</v>
      </c>
      <c r="G141" s="462">
        <v>-1.8565667598967899</v>
      </c>
      <c r="H141" s="462">
        <v>-1.2720416735170972</v>
      </c>
      <c r="I141" s="462">
        <v>-1.1039739947823479</v>
      </c>
      <c r="J141" s="462">
        <v>-1.018311326547777</v>
      </c>
      <c r="K141" s="561"/>
      <c r="L141" s="562"/>
      <c r="M141" s="31"/>
      <c r="N141" s="31"/>
      <c r="O141" s="31"/>
    </row>
    <row r="142" spans="2:15">
      <c r="B142" s="458" t="s">
        <v>114</v>
      </c>
      <c r="C142" s="464">
        <v>-0.43181154987245485</v>
      </c>
      <c r="D142" s="462">
        <v>-0.39947195996305995</v>
      </c>
      <c r="E142" s="462">
        <v>-0.34734317043598018</v>
      </c>
      <c r="F142" s="462">
        <v>-0.3193206524905472</v>
      </c>
      <c r="G142" s="462">
        <v>-0.31265626882301373</v>
      </c>
      <c r="H142" s="462">
        <v>-0.30799379948941219</v>
      </c>
      <c r="I142" s="462">
        <v>-0.32570922921081308</v>
      </c>
      <c r="J142" s="462">
        <v>-0.31552026220892354</v>
      </c>
      <c r="K142" s="561"/>
      <c r="L142" s="562"/>
      <c r="M142" s="31"/>
      <c r="N142" s="31"/>
      <c r="O142" s="31"/>
    </row>
    <row r="143" spans="2:15">
      <c r="B143" s="458" t="s">
        <v>111</v>
      </c>
      <c r="C143" s="464">
        <v>15.168246288518162</v>
      </c>
      <c r="D143" s="462">
        <v>16.275110005972994</v>
      </c>
      <c r="E143" s="462">
        <v>15.614702904478012</v>
      </c>
      <c r="F143" s="462">
        <v>14.911674359737152</v>
      </c>
      <c r="G143" s="462">
        <v>13.033415757853545</v>
      </c>
      <c r="H143" s="462">
        <v>12.556067765830047</v>
      </c>
      <c r="I143" s="462">
        <v>11.285100906339711</v>
      </c>
      <c r="J143" s="462">
        <v>9.8268179419485548</v>
      </c>
      <c r="K143" s="561"/>
      <c r="L143" s="562"/>
      <c r="M143" s="31"/>
      <c r="N143" s="31"/>
      <c r="O143" s="31"/>
    </row>
    <row r="144" spans="2:15">
      <c r="B144" s="458" t="s">
        <v>112</v>
      </c>
      <c r="C144" s="464">
        <v>0.93219394583370063</v>
      </c>
      <c r="D144" s="462">
        <v>0.89969793099769957</v>
      </c>
      <c r="E144" s="462">
        <v>0.87783267686821997</v>
      </c>
      <c r="F144" s="462">
        <v>0.87232109317784756</v>
      </c>
      <c r="G144" s="462">
        <v>0.89875958568159287</v>
      </c>
      <c r="H144" s="462">
        <v>0.82801710222961222</v>
      </c>
      <c r="I144" s="462">
        <v>0.88417658562860901</v>
      </c>
      <c r="J144" s="462">
        <v>0.89982415652833247</v>
      </c>
      <c r="K144" s="561"/>
      <c r="L144" s="562"/>
      <c r="M144" s="31"/>
      <c r="N144" s="31"/>
      <c r="O144" s="31"/>
    </row>
    <row r="145" spans="1:15">
      <c r="B145" s="458" t="s">
        <v>60</v>
      </c>
      <c r="C145" s="464">
        <v>10.952751093909903</v>
      </c>
      <c r="D145" s="462">
        <v>1.3412683602121493</v>
      </c>
      <c r="E145" s="462">
        <v>22.190179414419269</v>
      </c>
      <c r="F145" s="462">
        <v>7.0488483253947072</v>
      </c>
      <c r="G145" s="462">
        <v>6.9020695692988534</v>
      </c>
      <c r="H145" s="462">
        <v>6.9425238085580094</v>
      </c>
      <c r="I145" s="462">
        <v>7.0785069781779111</v>
      </c>
      <c r="J145" s="462">
        <v>5.2688524500291916</v>
      </c>
      <c r="K145" s="561"/>
      <c r="L145" s="562"/>
      <c r="M145" s="31"/>
      <c r="N145" s="31"/>
      <c r="O145" s="31"/>
    </row>
    <row r="146" spans="1:15">
      <c r="B146" s="459" t="s">
        <v>61</v>
      </c>
      <c r="C146" s="465">
        <v>4.7850556060781999</v>
      </c>
      <c r="D146" s="466">
        <v>4.9736597194598335</v>
      </c>
      <c r="E146" s="466">
        <v>5.6988662496343032</v>
      </c>
      <c r="F146" s="466">
        <v>3.7921077312788807</v>
      </c>
      <c r="G146" s="466">
        <v>2.8512563802087829</v>
      </c>
      <c r="H146" s="466">
        <v>2.8799765245720623</v>
      </c>
      <c r="I146" s="466">
        <v>2.9074703511454074</v>
      </c>
      <c r="J146" s="466">
        <v>2.8191074376225309</v>
      </c>
      <c r="K146" s="563"/>
      <c r="L146" s="564"/>
      <c r="M146" s="31"/>
      <c r="N146" s="31"/>
      <c r="O146" s="31"/>
    </row>
    <row r="147" spans="1:15">
      <c r="B147" s="31"/>
      <c r="C147" s="31"/>
      <c r="D147" s="31"/>
      <c r="E147" s="31"/>
      <c r="F147" s="31"/>
      <c r="G147" s="31"/>
      <c r="H147" s="31"/>
      <c r="I147" s="31"/>
      <c r="J147" s="31"/>
      <c r="K147" s="31"/>
      <c r="L147" s="31"/>
      <c r="M147" s="31"/>
      <c r="N147" s="31"/>
      <c r="O147" s="31"/>
    </row>
    <row r="148" spans="1:15">
      <c r="B148" s="398"/>
      <c r="C148" s="364"/>
      <c r="D148" s="364"/>
      <c r="E148" s="364"/>
      <c r="F148" s="364"/>
      <c r="G148" s="364"/>
      <c r="H148" s="364"/>
      <c r="I148" s="364"/>
      <c r="J148" s="364"/>
      <c r="K148" s="31"/>
      <c r="L148" s="31"/>
      <c r="M148" s="31"/>
    </row>
    <row r="149" spans="1:15">
      <c r="B149" s="421" t="str">
        <f>LEFT('RFPR cover'!C6,2)</f>
        <v>ED</v>
      </c>
      <c r="C149" s="419"/>
      <c r="D149" s="419"/>
      <c r="E149" s="419"/>
      <c r="F149" s="419"/>
      <c r="G149" s="419"/>
      <c r="H149" s="419"/>
      <c r="I149" s="419"/>
      <c r="J149" s="419"/>
      <c r="K149" s="419"/>
      <c r="L149" s="420"/>
    </row>
    <row r="150" spans="1:15" ht="14.25" customHeight="1">
      <c r="A150" s="204"/>
      <c r="B150" s="455" t="s">
        <v>405</v>
      </c>
      <c r="C150" s="456"/>
      <c r="D150" s="456"/>
      <c r="E150" s="456"/>
      <c r="F150" s="454"/>
      <c r="G150" s="454"/>
      <c r="H150" s="454"/>
      <c r="I150" s="454"/>
      <c r="J150" s="454"/>
      <c r="K150" s="454"/>
      <c r="L150" s="454"/>
      <c r="M150" s="454"/>
      <c r="N150" s="454"/>
    </row>
    <row r="151" spans="1:15" s="31" customFormat="1" ht="14.25" customHeight="1">
      <c r="A151" s="793"/>
      <c r="B151" s="794"/>
      <c r="C151" s="795"/>
      <c r="D151" s="795"/>
      <c r="E151" s="795"/>
      <c r="F151" s="796"/>
      <c r="G151" s="796"/>
      <c r="H151" s="796"/>
      <c r="I151" s="796"/>
      <c r="J151" s="796"/>
      <c r="K151" s="796"/>
      <c r="L151" s="796"/>
      <c r="M151" s="796"/>
      <c r="N151" s="796"/>
    </row>
    <row r="152" spans="1:15">
      <c r="A152" s="202"/>
      <c r="B152" s="797" t="s">
        <v>411</v>
      </c>
      <c r="C152" s="205"/>
      <c r="D152" s="205"/>
      <c r="E152" s="798" t="b">
        <f>OR((LEFT('RFPR cover'!$C$6,2)=Data!F152),'RFPR cover'!$C$5=Data!F152)</f>
        <v>1</v>
      </c>
      <c r="F152" s="363" t="str">
        <f>B162</f>
        <v>ED</v>
      </c>
      <c r="G152" s="799"/>
    </row>
    <row r="153" spans="1:15">
      <c r="A153" s="202"/>
      <c r="B153" s="814" t="str">
        <f>CHOOSE(MATCH(TRUE,$E$152:$E$159,0),B163,B173,B183,E183,B193,E193,B203,E203)&amp;""</f>
        <v>Broad measure of customer service</v>
      </c>
      <c r="C153" s="205"/>
      <c r="D153" s="205"/>
      <c r="E153" s="800" t="b">
        <f>OR((LEFT('RFPR cover'!$C$6,2)=Data!F153),'RFPR cover'!$C$5=Data!F153)</f>
        <v>0</v>
      </c>
      <c r="F153" s="364" t="str">
        <f>B172</f>
        <v>GD</v>
      </c>
      <c r="G153" s="201"/>
    </row>
    <row r="154" spans="1:15">
      <c r="A154" s="202"/>
      <c r="B154" s="815" t="str">
        <f t="shared" ref="B154:B160" si="23">CHOOSE(MATCH(TRUE,$E$152:$E$159,0),B164,B174,B184,E184,B194,E194,B204,E204)&amp;""</f>
        <v>Interruptions-related quality of service</v>
      </c>
      <c r="C154" s="205"/>
      <c r="D154" s="205"/>
      <c r="E154" s="800" t="b">
        <f>OR((LEFT('RFPR cover'!$C$6,2)=Data!F154),'RFPR cover'!$C$5=Data!F154)</f>
        <v>0</v>
      </c>
      <c r="F154" s="813" t="str">
        <f>B182</f>
        <v>NGGT (TO)</v>
      </c>
      <c r="G154" s="201"/>
    </row>
    <row r="155" spans="1:15">
      <c r="A155" s="202"/>
      <c r="B155" s="815" t="str">
        <f t="shared" si="23"/>
        <v>Incentive on connections engagement</v>
      </c>
      <c r="C155" s="205"/>
      <c r="D155" s="205"/>
      <c r="E155" s="800" t="b">
        <f>OR((LEFT('RFPR cover'!$C$6,2)=Data!F155),'RFPR cover'!$C$5=Data!F155)</f>
        <v>0</v>
      </c>
      <c r="F155" s="801" t="str">
        <f>E182</f>
        <v>NGGT (SO)</v>
      </c>
      <c r="G155" s="201"/>
    </row>
    <row r="156" spans="1:15">
      <c r="A156" s="202"/>
      <c r="B156" s="815" t="str">
        <f t="shared" si="23"/>
        <v>Time to Connect Incentive</v>
      </c>
      <c r="C156" s="205"/>
      <c r="D156" s="205"/>
      <c r="E156" s="800" t="b">
        <f>OR((LEFT('RFPR cover'!$C$6,2)=Data!F156),'RFPR cover'!$C$5=Data!F156)</f>
        <v>0</v>
      </c>
      <c r="F156" s="801" t="str">
        <f>B192</f>
        <v>NGET (TO)</v>
      </c>
      <c r="G156" s="201"/>
    </row>
    <row r="157" spans="1:15">
      <c r="A157" s="202"/>
      <c r="B157" s="816" t="str">
        <f t="shared" si="23"/>
        <v>Losses discretionary reward scheme</v>
      </c>
      <c r="C157" s="205"/>
      <c r="D157" s="205"/>
      <c r="E157" s="800" t="b">
        <f>OR((LEFT('RFPR cover'!$C$6,2)=Data!F157),'RFPR cover'!$C$5=Data!F157)</f>
        <v>0</v>
      </c>
      <c r="F157" s="801" t="str">
        <f>E192</f>
        <v>NGET (SO)</v>
      </c>
      <c r="G157" s="201"/>
    </row>
    <row r="158" spans="1:15">
      <c r="A158" s="202"/>
      <c r="B158" s="816" t="str">
        <f t="shared" si="23"/>
        <v/>
      </c>
      <c r="C158" s="205"/>
      <c r="D158" s="205"/>
      <c r="E158" s="800" t="b">
        <f>OR((LEFT('RFPR cover'!$C$6,2)=Data!F158),'RFPR cover'!$C$5=Data!F158)</f>
        <v>0</v>
      </c>
      <c r="F158" s="801" t="str">
        <f>B202</f>
        <v>SPT</v>
      </c>
      <c r="G158" s="201"/>
    </row>
    <row r="159" spans="1:15">
      <c r="A159" s="202"/>
      <c r="B159" s="816" t="str">
        <f t="shared" si="23"/>
        <v/>
      </c>
      <c r="C159" s="205"/>
      <c r="D159" s="205"/>
      <c r="E159" s="802" t="b">
        <f>OR((LEFT('RFPR cover'!$C$6,2)=Data!F159),'RFPR cover'!$C$5=Data!F159)</f>
        <v>0</v>
      </c>
      <c r="F159" s="803" t="str">
        <f>E202</f>
        <v>SHET</v>
      </c>
      <c r="G159" s="296"/>
    </row>
    <row r="160" spans="1:15">
      <c r="A160" s="202"/>
      <c r="B160" s="205" t="str">
        <f t="shared" si="23"/>
        <v/>
      </c>
      <c r="C160" s="205"/>
      <c r="D160" s="205"/>
      <c r="E160" s="59"/>
      <c r="F160" s="801"/>
      <c r="G160" s="42"/>
    </row>
    <row r="161" spans="1:7">
      <c r="A161" s="202"/>
      <c r="B161" s="205"/>
      <c r="C161" s="205"/>
      <c r="D161" s="205"/>
      <c r="E161" s="59"/>
      <c r="F161" s="801"/>
      <c r="G161" s="42"/>
    </row>
    <row r="162" spans="1:7" ht="12" customHeight="1">
      <c r="A162" s="202"/>
      <c r="B162" s="978" t="s">
        <v>172</v>
      </c>
      <c r="C162" s="974"/>
      <c r="D162" s="205"/>
      <c r="E162" s="205"/>
    </row>
    <row r="163" spans="1:7">
      <c r="A163" s="202"/>
      <c r="B163" s="979" t="s">
        <v>406</v>
      </c>
      <c r="C163" s="980"/>
      <c r="D163" s="205"/>
      <c r="E163" s="205"/>
    </row>
    <row r="164" spans="1:7">
      <c r="A164" s="202"/>
      <c r="B164" s="979" t="s">
        <v>407</v>
      </c>
      <c r="C164" s="980"/>
      <c r="D164" s="205"/>
      <c r="E164" s="205"/>
    </row>
    <row r="165" spans="1:7">
      <c r="A165" s="202"/>
      <c r="B165" s="981" t="s">
        <v>408</v>
      </c>
      <c r="C165" s="982"/>
      <c r="D165" s="205"/>
      <c r="E165" s="205"/>
    </row>
    <row r="166" spans="1:7">
      <c r="A166" s="202"/>
      <c r="B166" s="981" t="s">
        <v>409</v>
      </c>
      <c r="C166" s="982"/>
      <c r="D166" s="205"/>
      <c r="E166" s="205"/>
    </row>
    <row r="167" spans="1:7">
      <c r="A167" s="202"/>
      <c r="B167" s="981" t="s">
        <v>410</v>
      </c>
      <c r="C167" s="982"/>
      <c r="D167" s="205"/>
      <c r="E167" s="205"/>
    </row>
    <row r="168" spans="1:7">
      <c r="A168" s="202"/>
      <c r="B168" s="981"/>
      <c r="C168" s="982"/>
      <c r="D168" s="205"/>
      <c r="E168" s="205"/>
    </row>
    <row r="169" spans="1:7">
      <c r="A169" s="202"/>
      <c r="B169" s="981"/>
      <c r="C169" s="982"/>
      <c r="D169" s="205"/>
      <c r="E169" s="205"/>
    </row>
    <row r="170" spans="1:7">
      <c r="A170" s="202"/>
      <c r="B170" s="205"/>
      <c r="C170" s="205"/>
      <c r="D170" s="205"/>
      <c r="E170" s="205"/>
    </row>
    <row r="171" spans="1:7">
      <c r="A171" s="202"/>
      <c r="B171" s="205"/>
      <c r="C171" s="205"/>
      <c r="D171" s="205"/>
      <c r="E171" s="205"/>
    </row>
    <row r="172" spans="1:7">
      <c r="A172" s="202"/>
      <c r="B172" s="978" t="s">
        <v>173</v>
      </c>
      <c r="C172" s="974"/>
      <c r="D172" s="205"/>
      <c r="E172" s="205"/>
    </row>
    <row r="173" spans="1:7" ht="12.75" customHeight="1">
      <c r="A173" s="202"/>
      <c r="B173" s="975" t="s">
        <v>223</v>
      </c>
      <c r="C173" s="977"/>
      <c r="D173" s="205"/>
      <c r="E173" s="205"/>
    </row>
    <row r="174" spans="1:7" ht="12.75" customHeight="1">
      <c r="A174" s="202"/>
      <c r="B174" s="969" t="s">
        <v>224</v>
      </c>
      <c r="C174" s="971"/>
      <c r="D174" s="205"/>
      <c r="E174" s="205"/>
    </row>
    <row r="175" spans="1:7" ht="12.75" customHeight="1">
      <c r="A175" s="202"/>
      <c r="B175" s="969" t="s">
        <v>225</v>
      </c>
      <c r="C175" s="971"/>
      <c r="D175" s="205"/>
      <c r="E175" s="205"/>
    </row>
    <row r="176" spans="1:7" ht="12.75" customHeight="1">
      <c r="A176" s="202"/>
      <c r="B176" s="969" t="s">
        <v>226</v>
      </c>
      <c r="C176" s="971"/>
      <c r="D176" s="205"/>
      <c r="E176" s="205"/>
    </row>
    <row r="177" spans="1:9" ht="12.75" customHeight="1">
      <c r="A177" s="202"/>
      <c r="B177" s="966" t="s">
        <v>308</v>
      </c>
      <c r="C177" s="968"/>
      <c r="D177" s="205"/>
      <c r="E177" s="205"/>
    </row>
    <row r="178" spans="1:9" ht="12.75" customHeight="1">
      <c r="A178" s="202"/>
      <c r="B178" s="966"/>
      <c r="C178" s="968"/>
      <c r="D178" s="205"/>
      <c r="E178" s="205"/>
    </row>
    <row r="179" spans="1:9" ht="12.75" customHeight="1">
      <c r="A179" s="202"/>
      <c r="B179" s="966"/>
      <c r="C179" s="968"/>
      <c r="D179" s="205"/>
      <c r="E179" s="205"/>
    </row>
    <row r="180" spans="1:9">
      <c r="A180" s="202"/>
      <c r="B180" s="205"/>
      <c r="C180" s="205"/>
      <c r="D180" s="205"/>
      <c r="E180" s="205"/>
    </row>
    <row r="181" spans="1:9">
      <c r="A181" s="202"/>
      <c r="B181" s="205"/>
      <c r="C181" s="205"/>
      <c r="D181" s="205"/>
      <c r="E181" s="205"/>
    </row>
    <row r="182" spans="1:9">
      <c r="A182" s="202"/>
      <c r="B182" s="972" t="str">
        <f>B95</f>
        <v>NGGT (TO)</v>
      </c>
      <c r="C182" s="1004"/>
      <c r="D182" s="205"/>
      <c r="E182" s="972" t="str">
        <f>B96</f>
        <v>NGGT (SO)</v>
      </c>
      <c r="F182" s="973"/>
      <c r="G182" s="973"/>
      <c r="H182" s="973"/>
      <c r="I182" s="974"/>
    </row>
    <row r="183" spans="1:9" ht="12.45" customHeight="1">
      <c r="A183" s="202"/>
      <c r="B183" s="975" t="s">
        <v>219</v>
      </c>
      <c r="C183" s="977"/>
      <c r="D183" s="205"/>
      <c r="E183" s="969" t="s">
        <v>558</v>
      </c>
      <c r="F183" s="970" t="s">
        <v>558</v>
      </c>
      <c r="G183" s="970" t="s">
        <v>558</v>
      </c>
      <c r="H183" s="970" t="s">
        <v>558</v>
      </c>
      <c r="I183" s="971" t="s">
        <v>558</v>
      </c>
    </row>
    <row r="184" spans="1:9" ht="12.45" customHeight="1">
      <c r="A184" s="202"/>
      <c r="B184" s="969" t="s">
        <v>227</v>
      </c>
      <c r="C184" s="971"/>
      <c r="D184" s="205"/>
      <c r="E184" s="969" t="s">
        <v>559</v>
      </c>
      <c r="F184" s="970" t="s">
        <v>559</v>
      </c>
      <c r="G184" s="970" t="s">
        <v>559</v>
      </c>
      <c r="H184" s="970" t="s">
        <v>559</v>
      </c>
      <c r="I184" s="971" t="s">
        <v>559</v>
      </c>
    </row>
    <row r="185" spans="1:9" ht="12.45" customHeight="1">
      <c r="A185" s="202"/>
      <c r="B185" s="969"/>
      <c r="C185" s="971"/>
      <c r="D185" s="205"/>
      <c r="E185" s="969" t="s">
        <v>560</v>
      </c>
      <c r="F185" s="970" t="s">
        <v>560</v>
      </c>
      <c r="G185" s="970" t="s">
        <v>560</v>
      </c>
      <c r="H185" s="970" t="s">
        <v>560</v>
      </c>
      <c r="I185" s="971" t="s">
        <v>560</v>
      </c>
    </row>
    <row r="186" spans="1:9" ht="12.45" customHeight="1">
      <c r="A186" s="202"/>
      <c r="B186" s="969"/>
      <c r="C186" s="971"/>
      <c r="D186" s="205"/>
      <c r="E186" s="969" t="s">
        <v>561</v>
      </c>
      <c r="F186" s="970" t="s">
        <v>561</v>
      </c>
      <c r="G186" s="970" t="s">
        <v>561</v>
      </c>
      <c r="H186" s="970" t="s">
        <v>561</v>
      </c>
      <c r="I186" s="971" t="s">
        <v>561</v>
      </c>
    </row>
    <row r="187" spans="1:9" ht="12.45" customHeight="1">
      <c r="A187" s="202"/>
      <c r="B187" s="966"/>
      <c r="C187" s="968"/>
      <c r="D187" s="205"/>
      <c r="E187" s="969" t="s">
        <v>562</v>
      </c>
      <c r="F187" s="970" t="s">
        <v>562</v>
      </c>
      <c r="G187" s="970" t="s">
        <v>562</v>
      </c>
      <c r="H187" s="970" t="s">
        <v>562</v>
      </c>
      <c r="I187" s="971" t="s">
        <v>562</v>
      </c>
    </row>
    <row r="188" spans="1:9" ht="12.45" customHeight="1">
      <c r="A188" s="202"/>
      <c r="B188" s="966"/>
      <c r="C188" s="968"/>
      <c r="D188" s="205"/>
      <c r="E188" s="969" t="s">
        <v>563</v>
      </c>
      <c r="F188" s="970" t="s">
        <v>563</v>
      </c>
      <c r="G188" s="970" t="s">
        <v>563</v>
      </c>
      <c r="H188" s="970" t="s">
        <v>563</v>
      </c>
      <c r="I188" s="971" t="s">
        <v>563</v>
      </c>
    </row>
    <row r="189" spans="1:9" ht="12.45" customHeight="1">
      <c r="A189" s="202"/>
      <c r="B189" s="966"/>
      <c r="C189" s="968"/>
      <c r="D189" s="205"/>
      <c r="E189" s="969" t="s">
        <v>564</v>
      </c>
      <c r="F189" s="970" t="s">
        <v>564</v>
      </c>
      <c r="G189" s="970" t="s">
        <v>564</v>
      </c>
      <c r="H189" s="970" t="s">
        <v>564</v>
      </c>
      <c r="I189" s="971" t="s">
        <v>564</v>
      </c>
    </row>
    <row r="190" spans="1:9">
      <c r="A190" s="202"/>
      <c r="B190" s="205"/>
      <c r="C190" s="205"/>
      <c r="D190" s="205"/>
      <c r="E190" s="205"/>
    </row>
    <row r="191" spans="1:9">
      <c r="A191" s="202"/>
      <c r="B191" s="205"/>
      <c r="C191" s="205"/>
      <c r="D191" s="205"/>
      <c r="E191" s="205"/>
    </row>
    <row r="192" spans="1:9">
      <c r="A192" s="202"/>
      <c r="B192" s="972" t="str">
        <f>B97</f>
        <v>NGET (TO)</v>
      </c>
      <c r="C192" s="1004"/>
      <c r="D192" s="205"/>
      <c r="E192" s="972" t="str">
        <f>B98</f>
        <v>NGET (SO)</v>
      </c>
      <c r="F192" s="973"/>
      <c r="G192" s="973"/>
      <c r="H192" s="973"/>
      <c r="I192" s="974"/>
    </row>
    <row r="193" spans="1:9" ht="12.75" customHeight="1">
      <c r="A193" s="202"/>
      <c r="B193" s="975" t="s">
        <v>218</v>
      </c>
      <c r="C193" s="977"/>
      <c r="D193" s="205"/>
      <c r="E193" s="969" t="s">
        <v>565</v>
      </c>
      <c r="F193" s="970" t="s">
        <v>565</v>
      </c>
      <c r="G193" s="970" t="s">
        <v>565</v>
      </c>
      <c r="H193" s="970" t="s">
        <v>565</v>
      </c>
      <c r="I193" s="971" t="s">
        <v>565</v>
      </c>
    </row>
    <row r="194" spans="1:9" ht="12.75" customHeight="1">
      <c r="A194" s="202"/>
      <c r="B194" s="969" t="s">
        <v>219</v>
      </c>
      <c r="C194" s="971"/>
      <c r="D194" s="205"/>
      <c r="E194" s="969" t="s">
        <v>566</v>
      </c>
      <c r="F194" s="970" t="s">
        <v>566</v>
      </c>
      <c r="G194" s="970" t="s">
        <v>566</v>
      </c>
      <c r="H194" s="970" t="s">
        <v>566</v>
      </c>
      <c r="I194" s="971" t="s">
        <v>566</v>
      </c>
    </row>
    <row r="195" spans="1:9" ht="12.75" customHeight="1">
      <c r="A195" s="202"/>
      <c r="B195" s="969" t="s">
        <v>220</v>
      </c>
      <c r="C195" s="971"/>
      <c r="D195" s="205"/>
      <c r="E195" s="969" t="s">
        <v>567</v>
      </c>
      <c r="F195" s="970" t="s">
        <v>567</v>
      </c>
      <c r="G195" s="970" t="s">
        <v>567</v>
      </c>
      <c r="H195" s="970" t="s">
        <v>567</v>
      </c>
      <c r="I195" s="971" t="s">
        <v>567</v>
      </c>
    </row>
    <row r="196" spans="1:9" ht="12.75" customHeight="1">
      <c r="A196" s="202"/>
      <c r="B196" s="969" t="s">
        <v>221</v>
      </c>
      <c r="C196" s="971"/>
      <c r="D196" s="205"/>
      <c r="E196" s="969"/>
      <c r="F196" s="970"/>
      <c r="G196" s="970"/>
      <c r="H196" s="970"/>
      <c r="I196" s="971"/>
    </row>
    <row r="197" spans="1:9" ht="12.75" customHeight="1">
      <c r="A197" s="202"/>
      <c r="B197" s="966"/>
      <c r="C197" s="968"/>
      <c r="D197" s="205"/>
      <c r="E197" s="966"/>
      <c r="F197" s="967"/>
      <c r="G197" s="967"/>
      <c r="H197" s="967"/>
      <c r="I197" s="968"/>
    </row>
    <row r="198" spans="1:9" ht="12.75" customHeight="1">
      <c r="A198" s="202"/>
      <c r="B198" s="966"/>
      <c r="C198" s="968"/>
      <c r="D198" s="205"/>
      <c r="E198" s="966"/>
      <c r="F198" s="967"/>
      <c r="G198" s="967"/>
      <c r="H198" s="967"/>
      <c r="I198" s="968"/>
    </row>
    <row r="199" spans="1:9" ht="12.75" customHeight="1">
      <c r="A199" s="202"/>
      <c r="B199" s="966"/>
      <c r="C199" s="968"/>
      <c r="D199" s="205"/>
      <c r="E199" s="966"/>
      <c r="F199" s="967"/>
      <c r="G199" s="967"/>
      <c r="H199" s="967"/>
      <c r="I199" s="968"/>
    </row>
    <row r="200" spans="1:9" s="31" customFormat="1" ht="12.75" customHeight="1">
      <c r="A200" s="790"/>
      <c r="B200" s="790"/>
      <c r="C200" s="790"/>
      <c r="D200" s="791"/>
      <c r="E200" s="792"/>
      <c r="F200" s="792"/>
      <c r="G200" s="792"/>
      <c r="H200" s="792"/>
      <c r="I200" s="792"/>
    </row>
    <row r="201" spans="1:9" s="31" customFormat="1" ht="12.75" customHeight="1">
      <c r="A201" s="790"/>
      <c r="B201" s="790"/>
      <c r="C201" s="790"/>
      <c r="D201" s="791"/>
      <c r="E201" s="792"/>
      <c r="F201" s="792"/>
      <c r="G201" s="792"/>
      <c r="H201" s="792"/>
      <c r="I201" s="792"/>
    </row>
    <row r="202" spans="1:9">
      <c r="A202" s="202"/>
      <c r="B202" s="972" t="str">
        <f>B145</f>
        <v>SPT</v>
      </c>
      <c r="C202" s="1004"/>
      <c r="D202" s="205"/>
      <c r="E202" s="972" t="str">
        <f>B100</f>
        <v>SHET</v>
      </c>
      <c r="F202" s="973"/>
      <c r="G202" s="973"/>
      <c r="H202" s="973"/>
      <c r="I202" s="974"/>
    </row>
    <row r="203" spans="1:9" ht="12.75" customHeight="1">
      <c r="A203" s="202"/>
      <c r="B203" s="975" t="s">
        <v>218</v>
      </c>
      <c r="C203" s="977"/>
      <c r="D203" s="205"/>
      <c r="E203" s="975" t="s">
        <v>218</v>
      </c>
      <c r="F203" s="976"/>
      <c r="G203" s="976"/>
      <c r="H203" s="976"/>
      <c r="I203" s="977"/>
    </row>
    <row r="204" spans="1:9" ht="12.75" customHeight="1">
      <c r="A204" s="202"/>
      <c r="B204" s="969" t="s">
        <v>219</v>
      </c>
      <c r="C204" s="971"/>
      <c r="D204" s="205"/>
      <c r="E204" s="969" t="s">
        <v>219</v>
      </c>
      <c r="F204" s="970"/>
      <c r="G204" s="970"/>
      <c r="H204" s="970"/>
      <c r="I204" s="971"/>
    </row>
    <row r="205" spans="1:9" ht="12.75" customHeight="1">
      <c r="A205" s="202"/>
      <c r="B205" s="969" t="s">
        <v>220</v>
      </c>
      <c r="C205" s="971"/>
      <c r="D205" s="205"/>
      <c r="E205" s="969" t="s">
        <v>220</v>
      </c>
      <c r="F205" s="970"/>
      <c r="G205" s="970"/>
      <c r="H205" s="970"/>
      <c r="I205" s="971"/>
    </row>
    <row r="206" spans="1:9" ht="12.75" customHeight="1">
      <c r="A206" s="202"/>
      <c r="B206" s="969" t="s">
        <v>221</v>
      </c>
      <c r="C206" s="971"/>
      <c r="D206" s="205"/>
      <c r="E206" s="969" t="s">
        <v>221</v>
      </c>
      <c r="F206" s="970"/>
      <c r="G206" s="970"/>
      <c r="H206" s="970"/>
      <c r="I206" s="971"/>
    </row>
    <row r="207" spans="1:9" ht="12.75" customHeight="1">
      <c r="A207" s="202"/>
      <c r="B207" s="966" t="s">
        <v>222</v>
      </c>
      <c r="C207" s="968"/>
      <c r="D207" s="205"/>
      <c r="E207" s="966" t="s">
        <v>222</v>
      </c>
      <c r="F207" s="967"/>
      <c r="G207" s="967"/>
      <c r="H207" s="967"/>
      <c r="I207" s="968"/>
    </row>
    <row r="208" spans="1:9" ht="12.75" customHeight="1">
      <c r="A208" s="202"/>
      <c r="B208" s="966"/>
      <c r="C208" s="968"/>
      <c r="D208" s="205"/>
      <c r="E208" s="966"/>
      <c r="F208" s="967"/>
      <c r="G208" s="967"/>
      <c r="H208" s="967"/>
      <c r="I208" s="968"/>
    </row>
    <row r="209" spans="1:14" ht="12.75" customHeight="1">
      <c r="A209" s="202"/>
      <c r="B209" s="966"/>
      <c r="C209" s="968"/>
      <c r="D209" s="205"/>
      <c r="E209" s="966"/>
      <c r="F209" s="967"/>
      <c r="G209" s="967"/>
      <c r="H209" s="967"/>
      <c r="I209" s="968"/>
    </row>
    <row r="210" spans="1:14">
      <c r="A210" s="202"/>
      <c r="D210" s="205"/>
      <c r="E210" s="205"/>
    </row>
    <row r="211" spans="1:14">
      <c r="A211" s="202"/>
      <c r="D211" s="205"/>
      <c r="E211" s="205"/>
    </row>
    <row r="212" spans="1:14" ht="12.75" customHeight="1">
      <c r="A212" s="202"/>
      <c r="B212" s="1003" t="s">
        <v>240</v>
      </c>
      <c r="C212" s="1003"/>
      <c r="D212" s="1003"/>
      <c r="E212" s="284"/>
      <c r="F212" s="216"/>
      <c r="G212" s="216"/>
      <c r="H212" s="216"/>
      <c r="I212" s="216"/>
      <c r="J212" s="216"/>
      <c r="K212" s="216"/>
      <c r="L212" s="216"/>
      <c r="M212" s="216"/>
      <c r="N212" s="216"/>
    </row>
    <row r="213" spans="1:14">
      <c r="A213" s="202"/>
      <c r="B213" s="205"/>
      <c r="C213" s="205"/>
      <c r="D213" s="205"/>
      <c r="E213" s="205"/>
    </row>
    <row r="214" spans="1:14" ht="25.2">
      <c r="A214" s="202"/>
      <c r="B214" s="207" t="s">
        <v>129</v>
      </c>
      <c r="C214" s="206" t="s">
        <v>208</v>
      </c>
      <c r="D214" s="205"/>
      <c r="E214" s="205"/>
    </row>
    <row r="215" spans="1:14" ht="25.2">
      <c r="A215" s="202"/>
      <c r="B215" s="208" t="s">
        <v>130</v>
      </c>
      <c r="C215" s="289" t="s">
        <v>209</v>
      </c>
      <c r="D215" s="205"/>
      <c r="E215" s="205"/>
    </row>
    <row r="216" spans="1:14">
      <c r="B216" s="304"/>
      <c r="C216" s="42"/>
      <c r="D216" s="42"/>
      <c r="E216" s="42"/>
      <c r="F216" s="42"/>
      <c r="G216" s="42"/>
      <c r="H216" s="42"/>
      <c r="I216" s="42"/>
      <c r="J216" s="42"/>
    </row>
    <row r="217" spans="1:14">
      <c r="B217" s="203"/>
      <c r="I217" s="67"/>
    </row>
    <row r="218" spans="1:14">
      <c r="B218" s="806" t="s">
        <v>413</v>
      </c>
      <c r="I218" s="67"/>
    </row>
    <row r="219" spans="1:14">
      <c r="B219" s="808" t="s">
        <v>290</v>
      </c>
    </row>
    <row r="220" spans="1:14">
      <c r="B220" s="809" t="s">
        <v>289</v>
      </c>
    </row>
    <row r="221" spans="1:14">
      <c r="B221" s="812" t="s">
        <v>287</v>
      </c>
    </row>
    <row r="222" spans="1:14">
      <c r="B222" s="810"/>
    </row>
    <row r="223" spans="1:14">
      <c r="B223" s="212"/>
    </row>
    <row r="224" spans="1:14">
      <c r="B224" s="807" t="s">
        <v>285</v>
      </c>
    </row>
    <row r="225" spans="2:2">
      <c r="B225" s="811" t="s">
        <v>414</v>
      </c>
    </row>
    <row r="226" spans="2:2">
      <c r="B226" s="809" t="s">
        <v>415</v>
      </c>
    </row>
    <row r="227" spans="2:2">
      <c r="B227" s="809" t="s">
        <v>296</v>
      </c>
    </row>
    <row r="228" spans="2:2">
      <c r="B228" s="809" t="s">
        <v>416</v>
      </c>
    </row>
    <row r="229" spans="2:2">
      <c r="B229" s="809" t="s">
        <v>417</v>
      </c>
    </row>
    <row r="230" spans="2:2">
      <c r="B230" s="809" t="s">
        <v>288</v>
      </c>
    </row>
    <row r="231" spans="2:2">
      <c r="B231" s="809" t="s">
        <v>418</v>
      </c>
    </row>
    <row r="232" spans="2:2">
      <c r="B232" s="809"/>
    </row>
    <row r="233" spans="2:2">
      <c r="B233" s="810"/>
    </row>
    <row r="234" spans="2:2">
      <c r="B234" s="212"/>
    </row>
    <row r="235" spans="2:2">
      <c r="B235" s="807" t="s">
        <v>295</v>
      </c>
    </row>
    <row r="236" spans="2:2">
      <c r="B236" s="811" t="s">
        <v>419</v>
      </c>
    </row>
    <row r="237" spans="2:2">
      <c r="B237" s="809" t="s">
        <v>420</v>
      </c>
    </row>
    <row r="238" spans="2:2">
      <c r="B238" s="809" t="s">
        <v>421</v>
      </c>
    </row>
    <row r="239" spans="2:2">
      <c r="B239" s="809" t="s">
        <v>422</v>
      </c>
    </row>
    <row r="240" spans="2:2">
      <c r="B240" s="809" t="s">
        <v>423</v>
      </c>
    </row>
    <row r="241" spans="2:2">
      <c r="B241" s="810"/>
    </row>
    <row r="242" spans="2:2">
      <c r="B242" s="212"/>
    </row>
    <row r="243" spans="2:2">
      <c r="B243" s="807" t="s">
        <v>424</v>
      </c>
    </row>
    <row r="244" spans="2:2">
      <c r="B244" s="811" t="s">
        <v>425</v>
      </c>
    </row>
    <row r="245" spans="2:2">
      <c r="B245" s="809" t="s">
        <v>426</v>
      </c>
    </row>
    <row r="246" spans="2:2">
      <c r="B246" s="810"/>
    </row>
    <row r="247" spans="2:2">
      <c r="B247" s="212"/>
    </row>
    <row r="248" spans="2:2">
      <c r="B248" s="807" t="s">
        <v>427</v>
      </c>
    </row>
    <row r="249" spans="2:2">
      <c r="B249" s="811" t="s">
        <v>468</v>
      </c>
    </row>
    <row r="250" spans="2:2">
      <c r="B250" s="809" t="s">
        <v>467</v>
      </c>
    </row>
    <row r="251" spans="2:2">
      <c r="B251" s="810" t="s">
        <v>270</v>
      </c>
    </row>
    <row r="252" spans="2:2">
      <c r="B252" s="212"/>
    </row>
    <row r="253" spans="2:2">
      <c r="B253" s="807" t="s">
        <v>286</v>
      </c>
    </row>
    <row r="254" spans="2:2">
      <c r="B254" s="811" t="s">
        <v>428</v>
      </c>
    </row>
    <row r="255" spans="2:2">
      <c r="B255" s="809" t="s">
        <v>472</v>
      </c>
    </row>
    <row r="256" spans="2:2">
      <c r="B256" s="809"/>
    </row>
    <row r="257" spans="2:2">
      <c r="B257" s="810"/>
    </row>
    <row r="258" spans="2:2">
      <c r="B258" s="212"/>
    </row>
    <row r="259" spans="2:2">
      <c r="B259" s="807" t="s">
        <v>291</v>
      </c>
    </row>
    <row r="260" spans="2:2">
      <c r="B260" s="811" t="s">
        <v>292</v>
      </c>
    </row>
    <row r="261" spans="2:2">
      <c r="B261" s="809" t="s">
        <v>297</v>
      </c>
    </row>
    <row r="262" spans="2:2">
      <c r="B262" s="809"/>
    </row>
    <row r="263" spans="2:2">
      <c r="B263" s="810"/>
    </row>
    <row r="264" spans="2:2">
      <c r="B264" s="212"/>
    </row>
    <row r="265" spans="2:2">
      <c r="B265" s="807" t="s">
        <v>429</v>
      </c>
    </row>
    <row r="266" spans="2:2">
      <c r="B266" s="811" t="s">
        <v>290</v>
      </c>
    </row>
    <row r="267" spans="2:2">
      <c r="B267" s="809" t="s">
        <v>289</v>
      </c>
    </row>
    <row r="268" spans="2:2">
      <c r="B268" s="810"/>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92" priority="21">
      <formula>AND(#REF!="Actuals",#REF!="Forecast")</formula>
    </cfRule>
  </conditionalFormatting>
  <conditionalFormatting sqref="C47">
    <cfRule type="expression" dxfId="91" priority="19">
      <formula>AND(#REF!="Actuals",#REF!="Forecast")</formula>
    </cfRule>
  </conditionalFormatting>
  <conditionalFormatting sqref="C50:J50">
    <cfRule type="expression" dxfId="90" priority="18">
      <formula>AND(#REF!="Actuals",#REF!="Forecast")</formula>
    </cfRule>
  </conditionalFormatting>
  <conditionalFormatting sqref="B14:D30">
    <cfRule type="cellIs" dxfId="89" priority="15" operator="equal">
      <formula>"Forecast"</formula>
    </cfRule>
  </conditionalFormatting>
  <conditionalFormatting sqref="B23:C30 E25:F27">
    <cfRule type="expression" dxfId="88" priority="112">
      <formula>$D13="Forecast"</formula>
    </cfRule>
  </conditionalFormatting>
  <conditionalFormatting sqref="K71">
    <cfRule type="expression" dxfId="87" priority="6">
      <formula>AND(#REF!="Actuals",#REF!="Forecast")</formula>
    </cfRule>
  </conditionalFormatting>
  <conditionalFormatting sqref="K72:T72">
    <cfRule type="expression" dxfId="86" priority="5">
      <formula>AND(#REF!="Actuals",#REF!="Forecast")</formula>
    </cfRule>
  </conditionalFormatting>
  <conditionalFormatting sqref="C62:L62">
    <cfRule type="expression" dxfId="85" priority="4">
      <formula>AND(#REF!="Actuals",#REF!="Forecast")</formula>
    </cfRule>
  </conditionalFormatting>
  <conditionalFormatting sqref="C118:L118">
    <cfRule type="expression" dxfId="84" priority="2">
      <formula>AND(#REF!="Actuals",#REF!="Forecast")</formula>
    </cfRule>
  </conditionalFormatting>
  <hyperlinks>
    <hyperlink ref="K39" r:id="rId1" display="August 2018 Publication"/>
    <hyperlink ref="K39:M39" r:id="rId2" display="May 2020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activeCell="C11" sqref="C11"/>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901" t="s">
        <v>83</v>
      </c>
      <c r="B1" s="901"/>
      <c r="C1" s="901"/>
      <c r="D1" s="901"/>
      <c r="E1" s="901"/>
      <c r="F1" s="901"/>
      <c r="G1" s="901"/>
      <c r="H1" s="901"/>
      <c r="I1" s="32" t="s">
        <v>84</v>
      </c>
      <c r="J1" s="33"/>
      <c r="K1" s="33"/>
      <c r="L1" s="33"/>
      <c r="M1" s="33"/>
    </row>
    <row r="2" spans="1:14" s="31" customFormat="1" ht="21">
      <c r="A2" s="901" t="str">
        <f>'RFPR cover'!C5</f>
        <v>WPD-SWEST</v>
      </c>
      <c r="B2" s="901"/>
      <c r="C2" s="901"/>
      <c r="D2" s="901"/>
      <c r="E2" s="901"/>
      <c r="F2" s="901"/>
      <c r="G2" s="901"/>
      <c r="H2" s="901"/>
      <c r="I2" s="33"/>
      <c r="J2" s="33"/>
      <c r="K2" s="33"/>
      <c r="L2" s="33"/>
      <c r="M2" s="33"/>
      <c r="N2" s="364"/>
    </row>
    <row r="3" spans="1:14" s="31" customFormat="1" ht="21">
      <c r="A3" s="901">
        <f>'RFPR cover'!C7</f>
        <v>2020</v>
      </c>
      <c r="B3" s="901"/>
      <c r="C3" s="901"/>
      <c r="D3" s="901"/>
      <c r="E3" s="901"/>
      <c r="F3" s="901"/>
      <c r="G3" s="901"/>
      <c r="H3" s="901"/>
      <c r="I3" s="33"/>
      <c r="J3" s="33"/>
      <c r="K3" s="33"/>
      <c r="L3" s="33"/>
      <c r="M3" s="33"/>
      <c r="N3" s="364"/>
    </row>
    <row r="4" spans="1:14">
      <c r="A4" s="24"/>
      <c r="B4" s="24"/>
      <c r="C4" s="24"/>
      <c r="D4" s="24"/>
      <c r="E4" s="24"/>
      <c r="F4" s="24"/>
      <c r="G4" s="24"/>
      <c r="H4" s="24"/>
      <c r="I4" s="546"/>
      <c r="J4" s="546"/>
      <c r="K4" s="546"/>
      <c r="L4" s="546"/>
      <c r="M4" s="546"/>
      <c r="N4" s="42"/>
    </row>
    <row r="5" spans="1:14">
      <c r="A5" s="24"/>
      <c r="B5" s="24"/>
      <c r="C5" s="24"/>
      <c r="D5" s="24"/>
      <c r="E5" s="24"/>
      <c r="F5" s="24"/>
      <c r="G5" s="24"/>
      <c r="H5" s="24"/>
      <c r="I5" s="546"/>
      <c r="J5" s="546"/>
      <c r="K5" s="546"/>
      <c r="L5" s="546"/>
      <c r="M5" s="546"/>
      <c r="N5" s="42"/>
    </row>
    <row r="6" spans="1:14">
      <c r="A6" s="24"/>
      <c r="B6" s="25" t="s">
        <v>85</v>
      </c>
      <c r="C6" s="24"/>
      <c r="D6" s="24"/>
      <c r="E6" s="24"/>
      <c r="F6" s="24"/>
      <c r="G6" s="24"/>
      <c r="H6" s="24"/>
      <c r="I6" s="546"/>
      <c r="J6" s="546"/>
      <c r="K6" s="546"/>
      <c r="L6" s="546"/>
      <c r="M6" s="546"/>
      <c r="N6" s="42"/>
    </row>
    <row r="7" spans="1:14">
      <c r="A7" s="24"/>
      <c r="B7" s="24"/>
      <c r="C7" s="24"/>
      <c r="D7" s="24"/>
      <c r="E7" s="24"/>
      <c r="F7" s="24"/>
      <c r="G7" s="24"/>
      <c r="H7" s="24"/>
      <c r="I7" s="546"/>
      <c r="J7" s="546"/>
      <c r="K7" s="546"/>
      <c r="L7" s="546"/>
      <c r="M7" s="546"/>
      <c r="N7" s="42"/>
    </row>
    <row r="8" spans="1:14">
      <c r="A8" s="24"/>
      <c r="B8" s="47" t="s">
        <v>86</v>
      </c>
      <c r="C8" s="47" t="s">
        <v>87</v>
      </c>
      <c r="D8" s="1007" t="s">
        <v>88</v>
      </c>
      <c r="E8" s="1008"/>
      <c r="F8" s="1008"/>
      <c r="G8" s="1008"/>
      <c r="H8" s="1008"/>
      <c r="I8" s="546"/>
      <c r="J8" s="546"/>
      <c r="K8" s="546"/>
      <c r="L8" s="546"/>
      <c r="M8" s="546"/>
      <c r="N8" s="42"/>
    </row>
    <row r="9" spans="1:14">
      <c r="A9" s="24"/>
      <c r="B9" s="26" t="s">
        <v>89</v>
      </c>
      <c r="C9" s="46">
        <v>44043</v>
      </c>
      <c r="D9" s="1005"/>
      <c r="E9" s="1006"/>
      <c r="F9" s="1006"/>
      <c r="G9" s="1006"/>
      <c r="H9" s="1006"/>
      <c r="I9" s="24"/>
      <c r="J9" s="24"/>
      <c r="K9" s="24"/>
      <c r="L9" s="24"/>
      <c r="M9" s="24"/>
    </row>
    <row r="10" spans="1:14" ht="26.4" customHeight="1">
      <c r="A10" s="24"/>
      <c r="B10" s="26" t="s">
        <v>90</v>
      </c>
      <c r="C10" s="965">
        <v>44117</v>
      </c>
      <c r="D10" s="1009" t="s">
        <v>653</v>
      </c>
      <c r="E10" s="1010"/>
      <c r="F10" s="1010"/>
      <c r="G10" s="1010"/>
      <c r="H10" s="1010"/>
      <c r="I10" s="24"/>
      <c r="J10" s="24"/>
      <c r="K10" s="24"/>
      <c r="L10" s="24"/>
      <c r="M10" s="24"/>
    </row>
    <row r="11" spans="1:14">
      <c r="A11" s="24"/>
      <c r="B11" s="26" t="s">
        <v>91</v>
      </c>
      <c r="C11" s="46"/>
      <c r="D11" s="1005"/>
      <c r="E11" s="1006"/>
      <c r="F11" s="1006"/>
      <c r="G11" s="1006"/>
      <c r="H11" s="1006"/>
      <c r="I11" s="24"/>
      <c r="J11" s="24"/>
      <c r="K11" s="24"/>
      <c r="L11" s="24"/>
      <c r="M11" s="24"/>
    </row>
    <row r="12" spans="1:14">
      <c r="A12" s="24"/>
      <c r="B12" s="26" t="s">
        <v>92</v>
      </c>
      <c r="C12" s="46"/>
      <c r="D12" s="1005"/>
      <c r="E12" s="1006"/>
      <c r="F12" s="1006"/>
      <c r="G12" s="1006"/>
      <c r="H12" s="1006"/>
      <c r="I12" s="24"/>
      <c r="J12" s="24"/>
      <c r="K12" s="24"/>
      <c r="L12" s="24"/>
      <c r="M12" s="24"/>
    </row>
    <row r="13" spans="1:14">
      <c r="A13" s="24"/>
      <c r="B13" s="26" t="s">
        <v>93</v>
      </c>
      <c r="C13" s="46"/>
      <c r="D13" s="1005"/>
      <c r="E13" s="1006"/>
      <c r="F13" s="1006"/>
      <c r="G13" s="1006"/>
      <c r="H13" s="1006"/>
      <c r="I13" s="24"/>
      <c r="J13" s="24"/>
      <c r="K13" s="24"/>
      <c r="L13" s="24"/>
      <c r="M13" s="24"/>
    </row>
    <row r="14" spans="1:14">
      <c r="A14" s="24"/>
      <c r="B14" s="26" t="s">
        <v>94</v>
      </c>
      <c r="C14" s="46"/>
      <c r="D14" s="1005"/>
      <c r="E14" s="1006"/>
      <c r="F14" s="1006"/>
      <c r="G14" s="1006"/>
      <c r="H14" s="1006"/>
      <c r="I14" s="24"/>
      <c r="J14" s="24"/>
      <c r="K14" s="24"/>
      <c r="L14" s="24"/>
      <c r="M14" s="24"/>
    </row>
    <row r="15" spans="1:14">
      <c r="A15" s="24"/>
      <c r="B15" s="26" t="s">
        <v>95</v>
      </c>
      <c r="C15" s="46"/>
      <c r="D15" s="1005"/>
      <c r="E15" s="1006"/>
      <c r="F15" s="1006"/>
      <c r="G15" s="1006"/>
      <c r="H15" s="1006"/>
      <c r="I15" s="24"/>
      <c r="J15" s="24"/>
      <c r="K15" s="24"/>
      <c r="L15" s="24"/>
      <c r="M15" s="24"/>
    </row>
    <row r="16" spans="1:14">
      <c r="A16" s="24"/>
      <c r="B16" s="26" t="s">
        <v>96</v>
      </c>
      <c r="C16" s="46"/>
      <c r="D16" s="1005"/>
      <c r="E16" s="1006"/>
      <c r="F16" s="1006"/>
      <c r="G16" s="1006"/>
      <c r="H16" s="1006"/>
      <c r="I16" s="24"/>
      <c r="J16" s="24"/>
      <c r="K16" s="24"/>
      <c r="L16" s="24"/>
      <c r="M16" s="24"/>
    </row>
    <row r="17" spans="1:13">
      <c r="A17" s="24"/>
      <c r="B17" s="26" t="s">
        <v>97</v>
      </c>
      <c r="C17" s="46"/>
      <c r="D17" s="1005"/>
      <c r="E17" s="1006"/>
      <c r="F17" s="1006"/>
      <c r="G17" s="1006"/>
      <c r="H17" s="1006"/>
      <c r="I17" s="24"/>
      <c r="J17" s="24"/>
      <c r="K17" s="24"/>
      <c r="L17" s="24"/>
      <c r="M17" s="24"/>
    </row>
    <row r="18" spans="1:13">
      <c r="A18" s="24"/>
      <c r="B18" s="26" t="s">
        <v>98</v>
      </c>
      <c r="C18" s="46"/>
      <c r="D18" s="1005"/>
      <c r="E18" s="1006"/>
      <c r="F18" s="1006"/>
      <c r="G18" s="1006"/>
      <c r="H18" s="1006"/>
      <c r="I18" s="24"/>
      <c r="J18" s="24"/>
      <c r="K18" s="24"/>
      <c r="L18" s="24"/>
      <c r="M18" s="24"/>
    </row>
    <row r="19" spans="1:13">
      <c r="A19" s="24"/>
      <c r="B19" s="24"/>
      <c r="C19" s="24"/>
      <c r="D19" s="24"/>
      <c r="E19" s="24"/>
      <c r="F19" s="24"/>
      <c r="G19" s="24"/>
      <c r="H19" s="24"/>
      <c r="I19" s="24"/>
      <c r="J19" s="24"/>
      <c r="K19" s="24"/>
      <c r="L19" s="24"/>
      <c r="M19" s="24"/>
    </row>
    <row r="20" spans="1:13">
      <c r="A20" s="24"/>
      <c r="B20" s="212"/>
      <c r="C20" s="24"/>
      <c r="D20" s="24"/>
      <c r="E20" s="24"/>
      <c r="F20" s="24"/>
      <c r="G20" s="24"/>
      <c r="H20" s="24"/>
      <c r="I20" s="24"/>
      <c r="J20" s="24"/>
      <c r="K20" s="24"/>
      <c r="L20" s="24"/>
    </row>
    <row r="21" spans="1:13">
      <c r="A21" s="24"/>
      <c r="B21" s="285" t="s">
        <v>263</v>
      </c>
      <c r="C21" s="24"/>
      <c r="D21" s="24"/>
      <c r="E21" s="24"/>
      <c r="F21" s="24"/>
      <c r="G21" s="24"/>
      <c r="H21" s="24"/>
      <c r="I21" s="24"/>
      <c r="J21" s="24"/>
      <c r="K21" s="24"/>
      <c r="L21" s="24"/>
    </row>
    <row r="22" spans="1:13">
      <c r="A22" s="24"/>
      <c r="B22" s="285" t="s">
        <v>119</v>
      </c>
      <c r="C22" s="24"/>
      <c r="D22" s="24"/>
      <c r="E22" s="24"/>
      <c r="F22" s="24"/>
      <c r="G22" s="24"/>
      <c r="H22" s="24"/>
      <c r="I22" s="24"/>
      <c r="J22" s="24"/>
      <c r="K22" s="24"/>
      <c r="L22" s="24"/>
    </row>
    <row r="23" spans="1:13">
      <c r="A23" s="24"/>
      <c r="B23" s="285" t="s">
        <v>264</v>
      </c>
      <c r="C23" s="24"/>
      <c r="D23" s="24"/>
      <c r="E23" s="24"/>
      <c r="F23" s="24"/>
      <c r="G23" s="24"/>
      <c r="H23" s="24"/>
      <c r="I23" s="24"/>
      <c r="J23" s="24"/>
      <c r="K23" s="24"/>
      <c r="L23" s="24"/>
    </row>
    <row r="24" spans="1:13">
      <c r="B24" s="285" t="s">
        <v>99</v>
      </c>
    </row>
    <row r="25" spans="1:13">
      <c r="B25" s="285" t="s">
        <v>262</v>
      </c>
    </row>
    <row r="26" spans="1:13">
      <c r="B26" s="285" t="s">
        <v>100</v>
      </c>
    </row>
    <row r="27" spans="1:13">
      <c r="B27" s="285" t="s">
        <v>265</v>
      </c>
    </row>
    <row r="28" spans="1:13">
      <c r="B28" s="285" t="s">
        <v>281</v>
      </c>
      <c r="C28" t="s">
        <v>664</v>
      </c>
    </row>
    <row r="29" spans="1:13">
      <c r="B29" s="285" t="s">
        <v>237</v>
      </c>
    </row>
    <row r="30" spans="1:13">
      <c r="B30" s="285" t="s">
        <v>284</v>
      </c>
      <c r="C30" t="s">
        <v>664</v>
      </c>
    </row>
    <row r="31" spans="1:13">
      <c r="B31" s="285" t="s">
        <v>101</v>
      </c>
    </row>
    <row r="32" spans="1:13">
      <c r="B32" s="285" t="s">
        <v>261</v>
      </c>
    </row>
    <row r="33" spans="2:2">
      <c r="B33" s="285" t="s">
        <v>266</v>
      </c>
    </row>
    <row r="34" spans="2:2">
      <c r="B34" s="285" t="s">
        <v>259</v>
      </c>
    </row>
    <row r="35" spans="2:2">
      <c r="B35" s="285"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6"/>
  <sheetViews>
    <sheetView showGridLines="0" zoomScale="70" zoomScaleNormal="70" workbookViewId="0">
      <pane ySplit="5" topLeftCell="A41" activePane="bottomLeft" state="frozen"/>
      <selection activeCell="B75" sqref="A1:XFD1048576"/>
      <selection pane="bottomLeft" activeCell="A47" sqref="A47"/>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WPD-SWEST</v>
      </c>
      <c r="B2" s="29"/>
      <c r="C2" s="29"/>
      <c r="D2" s="29"/>
    </row>
    <row r="3" spans="1:4" s="31" customFormat="1" ht="21">
      <c r="A3" s="29">
        <f>'RFPR cover'!C7</f>
        <v>2020</v>
      </c>
      <c r="B3" s="29"/>
      <c r="C3" s="29"/>
      <c r="D3" s="29"/>
    </row>
    <row r="4" spans="1:4" s="31" customFormat="1" ht="21">
      <c r="A4" s="839"/>
      <c r="B4" s="839"/>
      <c r="C4" s="839"/>
      <c r="D4" s="839"/>
    </row>
    <row r="5" spans="1:4" ht="27.6">
      <c r="A5" s="836" t="s">
        <v>451</v>
      </c>
      <c r="B5" s="837" t="s">
        <v>452</v>
      </c>
      <c r="C5" s="838" t="s">
        <v>453</v>
      </c>
    </row>
    <row r="6" spans="1:4">
      <c r="A6" s="334">
        <v>1.1000000000000001</v>
      </c>
      <c r="B6" s="847" t="s">
        <v>535</v>
      </c>
      <c r="C6" s="854" t="s">
        <v>536</v>
      </c>
    </row>
    <row r="7" spans="1:4">
      <c r="A7" s="334">
        <v>1.1000000000000001</v>
      </c>
      <c r="B7" s="847" t="s">
        <v>535</v>
      </c>
      <c r="C7" s="854" t="s">
        <v>537</v>
      </c>
    </row>
    <row r="8" spans="1:4">
      <c r="A8" s="334">
        <v>1.1000000000000001</v>
      </c>
      <c r="B8" s="845" t="s">
        <v>538</v>
      </c>
      <c r="C8" s="853" t="s">
        <v>539</v>
      </c>
    </row>
    <row r="9" spans="1:4" ht="25.2">
      <c r="A9" s="334">
        <v>1.1000000000000001</v>
      </c>
      <c r="B9" s="845" t="s">
        <v>541</v>
      </c>
      <c r="C9" s="853" t="s">
        <v>542</v>
      </c>
    </row>
    <row r="10" spans="1:4">
      <c r="A10" s="334">
        <v>1.1000000000000001</v>
      </c>
      <c r="B10" s="845" t="s">
        <v>541</v>
      </c>
      <c r="C10" s="853" t="s">
        <v>544</v>
      </c>
    </row>
    <row r="11" spans="1:4">
      <c r="A11" s="334">
        <v>1.1000000000000001</v>
      </c>
      <c r="B11" s="845" t="s">
        <v>546</v>
      </c>
      <c r="C11" s="853" t="s">
        <v>545</v>
      </c>
    </row>
    <row r="12" spans="1:4" ht="25.2">
      <c r="A12" s="334">
        <v>1.1000000000000001</v>
      </c>
      <c r="B12" s="845" t="s">
        <v>541</v>
      </c>
      <c r="C12" s="853" t="s">
        <v>547</v>
      </c>
    </row>
    <row r="13" spans="1:4" ht="50.4">
      <c r="A13" s="334">
        <v>1.1000000000000001</v>
      </c>
      <c r="B13" s="845" t="s">
        <v>541</v>
      </c>
      <c r="C13" s="853" t="s">
        <v>548</v>
      </c>
    </row>
    <row r="14" spans="1:4">
      <c r="A14" s="335">
        <v>1.1000000000000001</v>
      </c>
      <c r="B14" s="845" t="s">
        <v>549</v>
      </c>
      <c r="C14" s="853" t="s">
        <v>550</v>
      </c>
    </row>
    <row r="15" spans="1:4">
      <c r="A15" s="335">
        <v>1.1000000000000001</v>
      </c>
      <c r="B15" s="845" t="s">
        <v>538</v>
      </c>
      <c r="C15" s="853" t="s">
        <v>551</v>
      </c>
    </row>
    <row r="16" spans="1:4" ht="37.799999999999997">
      <c r="A16" s="335">
        <v>1.1000000000000001</v>
      </c>
      <c r="B16" s="845" t="s">
        <v>552</v>
      </c>
      <c r="C16" s="853" t="s">
        <v>553</v>
      </c>
    </row>
    <row r="17" spans="1:3">
      <c r="A17" s="335">
        <v>1.1000000000000001</v>
      </c>
      <c r="B17" s="845" t="s">
        <v>546</v>
      </c>
      <c r="C17" s="286" t="s">
        <v>554</v>
      </c>
    </row>
    <row r="18" spans="1:3">
      <c r="A18" s="335">
        <v>1.1000000000000001</v>
      </c>
      <c r="B18" s="845" t="s">
        <v>546</v>
      </c>
      <c r="C18" s="286" t="s">
        <v>555</v>
      </c>
    </row>
    <row r="19" spans="1:3">
      <c r="A19" s="335">
        <v>1.1000000000000001</v>
      </c>
      <c r="B19" s="845" t="s">
        <v>556</v>
      </c>
      <c r="C19" s="286" t="s">
        <v>557</v>
      </c>
    </row>
    <row r="20" spans="1:3" ht="25.2">
      <c r="A20" s="335">
        <v>1.1000000000000001</v>
      </c>
      <c r="B20" s="845" t="s">
        <v>556</v>
      </c>
      <c r="C20" s="286" t="s">
        <v>568</v>
      </c>
    </row>
    <row r="21" spans="1:3">
      <c r="A21" s="335">
        <v>1.1000000000000001</v>
      </c>
      <c r="B21" s="845" t="s">
        <v>569</v>
      </c>
      <c r="C21" s="286" t="s">
        <v>570</v>
      </c>
    </row>
    <row r="22" spans="1:3">
      <c r="A22" s="335">
        <v>1.1000000000000001</v>
      </c>
      <c r="B22" s="335" t="s">
        <v>549</v>
      </c>
      <c r="C22" s="286" t="s">
        <v>571</v>
      </c>
    </row>
    <row r="23" spans="1:3" ht="25.2">
      <c r="A23" s="335">
        <v>1.1000000000000001</v>
      </c>
      <c r="B23" s="845" t="s">
        <v>549</v>
      </c>
      <c r="C23" s="286" t="s">
        <v>572</v>
      </c>
    </row>
    <row r="24" spans="1:3" ht="25.2">
      <c r="A24" s="335">
        <v>1.1000000000000001</v>
      </c>
      <c r="B24" s="845" t="s">
        <v>552</v>
      </c>
      <c r="C24" s="286" t="s">
        <v>573</v>
      </c>
    </row>
    <row r="25" spans="1:3" ht="25.8" thickBot="1">
      <c r="A25" s="939">
        <v>1.1000000000000001</v>
      </c>
      <c r="B25" s="940" t="s">
        <v>556</v>
      </c>
      <c r="C25" s="941" t="s">
        <v>575</v>
      </c>
    </row>
    <row r="26" spans="1:3">
      <c r="A26" s="936">
        <v>1.1000000000000001</v>
      </c>
      <c r="B26" s="937" t="s">
        <v>549</v>
      </c>
      <c r="C26" s="938" t="s">
        <v>576</v>
      </c>
    </row>
    <row r="27" spans="1:3">
      <c r="A27" s="936">
        <v>1.1000000000000001</v>
      </c>
      <c r="B27" s="845" t="s">
        <v>556</v>
      </c>
      <c r="C27" s="286" t="s">
        <v>577</v>
      </c>
    </row>
    <row r="28" spans="1:3">
      <c r="A28" s="335">
        <v>1.1000000000000001</v>
      </c>
      <c r="B28" s="845" t="s">
        <v>546</v>
      </c>
      <c r="C28" s="286" t="s">
        <v>578</v>
      </c>
    </row>
    <row r="29" spans="1:3" ht="75.599999999999994">
      <c r="A29" s="943" t="s">
        <v>617</v>
      </c>
      <c r="B29" s="845" t="s">
        <v>556</v>
      </c>
      <c r="C29" s="853" t="s">
        <v>632</v>
      </c>
    </row>
    <row r="30" spans="1:3" ht="25.2">
      <c r="A30" s="943" t="s">
        <v>617</v>
      </c>
      <c r="B30" s="845" t="s">
        <v>607</v>
      </c>
      <c r="C30" s="286" t="s">
        <v>619</v>
      </c>
    </row>
    <row r="31" spans="1:3" ht="50.4">
      <c r="A31" s="943" t="s">
        <v>617</v>
      </c>
      <c r="B31" s="845" t="s">
        <v>607</v>
      </c>
      <c r="C31" s="853" t="s">
        <v>636</v>
      </c>
    </row>
    <row r="32" spans="1:3">
      <c r="A32" s="943" t="s">
        <v>617</v>
      </c>
      <c r="B32" s="845" t="s">
        <v>607</v>
      </c>
      <c r="C32" s="877" t="s">
        <v>637</v>
      </c>
    </row>
    <row r="33" spans="1:3" ht="25.2">
      <c r="A33" s="943" t="s">
        <v>617</v>
      </c>
      <c r="B33" s="845" t="s">
        <v>638</v>
      </c>
      <c r="C33" s="286" t="s">
        <v>639</v>
      </c>
    </row>
    <row r="34" spans="1:3">
      <c r="A34" s="943" t="s">
        <v>617</v>
      </c>
      <c r="B34" s="870" t="s">
        <v>638</v>
      </c>
      <c r="C34" s="286" t="s">
        <v>640</v>
      </c>
    </row>
    <row r="35" spans="1:3" ht="37.799999999999997">
      <c r="A35" s="943" t="s">
        <v>617</v>
      </c>
      <c r="B35" s="870" t="s">
        <v>638</v>
      </c>
      <c r="C35" s="286" t="s">
        <v>641</v>
      </c>
    </row>
    <row r="36" spans="1:3" ht="25.2">
      <c r="A36" s="943" t="s">
        <v>617</v>
      </c>
      <c r="B36" s="870" t="s">
        <v>541</v>
      </c>
      <c r="C36" s="286" t="s">
        <v>642</v>
      </c>
    </row>
    <row r="37" spans="1:3" ht="63">
      <c r="A37" s="943" t="s">
        <v>617</v>
      </c>
      <c r="B37" s="845" t="s">
        <v>541</v>
      </c>
      <c r="C37" s="853" t="s">
        <v>633</v>
      </c>
    </row>
    <row r="38" spans="1:3" ht="25.2">
      <c r="A38" s="943" t="s">
        <v>617</v>
      </c>
      <c r="B38" s="870" t="s">
        <v>535</v>
      </c>
      <c r="C38" s="286" t="s">
        <v>643</v>
      </c>
    </row>
    <row r="39" spans="1:3">
      <c r="A39" s="943" t="s">
        <v>617</v>
      </c>
      <c r="B39" s="870" t="s">
        <v>552</v>
      </c>
      <c r="C39" s="286" t="s">
        <v>644</v>
      </c>
    </row>
    <row r="40" spans="1:3" ht="25.2">
      <c r="A40" s="943" t="s">
        <v>617</v>
      </c>
      <c r="B40" s="870" t="s">
        <v>552</v>
      </c>
      <c r="C40" s="286" t="s">
        <v>645</v>
      </c>
    </row>
    <row r="41" spans="1:3" ht="25.2">
      <c r="A41" s="943" t="s">
        <v>617</v>
      </c>
      <c r="B41" s="870" t="s">
        <v>549</v>
      </c>
      <c r="C41" s="286" t="s">
        <v>646</v>
      </c>
    </row>
    <row r="42" spans="1:3">
      <c r="A42" s="943" t="s">
        <v>617</v>
      </c>
      <c r="B42" s="870" t="s">
        <v>647</v>
      </c>
      <c r="C42" s="286" t="s">
        <v>648</v>
      </c>
    </row>
    <row r="43" spans="1:3" ht="25.2">
      <c r="A43" s="943" t="s">
        <v>617</v>
      </c>
      <c r="B43" s="845" t="s">
        <v>647</v>
      </c>
      <c r="C43" s="286" t="s">
        <v>649</v>
      </c>
    </row>
    <row r="44" spans="1:3" ht="37.799999999999997">
      <c r="A44" s="943" t="s">
        <v>617</v>
      </c>
      <c r="B44" s="845" t="s">
        <v>650</v>
      </c>
      <c r="C44" s="286" t="s">
        <v>651</v>
      </c>
    </row>
    <row r="45" spans="1:3" ht="37.799999999999997">
      <c r="A45" s="943" t="s">
        <v>617</v>
      </c>
      <c r="B45" s="845" t="s">
        <v>616</v>
      </c>
      <c r="C45" s="286" t="s">
        <v>618</v>
      </c>
    </row>
    <row r="46" spans="1:3" ht="25.2">
      <c r="A46" s="943" t="s">
        <v>665</v>
      </c>
      <c r="B46" s="845"/>
      <c r="C46" s="286"/>
    </row>
    <row r="47" spans="1:3">
      <c r="A47" s="336"/>
      <c r="B47" s="962" t="s">
        <v>655</v>
      </c>
      <c r="C47" s="950" t="s">
        <v>656</v>
      </c>
    </row>
    <row r="48" spans="1:3" ht="37.799999999999997">
      <c r="A48" s="336"/>
      <c r="B48" s="962" t="s">
        <v>657</v>
      </c>
      <c r="C48" s="950" t="s">
        <v>658</v>
      </c>
    </row>
    <row r="49" spans="1:3" ht="50.4">
      <c r="A49" s="336"/>
      <c r="B49" s="962" t="s">
        <v>607</v>
      </c>
      <c r="C49" s="950" t="s">
        <v>659</v>
      </c>
    </row>
    <row r="50" spans="1:3" ht="37.799999999999997">
      <c r="A50" s="336"/>
      <c r="B50" s="962" t="s">
        <v>638</v>
      </c>
      <c r="C50" s="950" t="s">
        <v>662</v>
      </c>
    </row>
    <row r="51" spans="1:3" ht="49.2" customHeight="1">
      <c r="A51" s="336"/>
      <c r="B51" s="962" t="s">
        <v>552</v>
      </c>
      <c r="C51" s="950" t="s">
        <v>660</v>
      </c>
    </row>
    <row r="52" spans="1:3" ht="50.4">
      <c r="A52" s="336"/>
      <c r="B52" s="962" t="s">
        <v>647</v>
      </c>
      <c r="C52" s="950" t="s">
        <v>661</v>
      </c>
    </row>
    <row r="53" spans="1:3" ht="25.2">
      <c r="A53" s="336"/>
      <c r="B53" s="962" t="s">
        <v>538</v>
      </c>
      <c r="C53" s="950" t="s">
        <v>654</v>
      </c>
    </row>
    <row r="54" spans="1:3">
      <c r="A54" s="336"/>
      <c r="B54" s="845"/>
      <c r="C54" s="286"/>
    </row>
    <row r="55" spans="1:3">
      <c r="A55" s="336"/>
      <c r="B55" s="845"/>
      <c r="C55" s="286"/>
    </row>
    <row r="56" spans="1:3">
      <c r="A56" s="336"/>
      <c r="B56" s="845"/>
      <c r="C56" s="286"/>
    </row>
    <row r="57" spans="1:3">
      <c r="A57" s="336"/>
      <c r="B57" s="845"/>
      <c r="C57" s="286"/>
    </row>
    <row r="58" spans="1:3">
      <c r="A58" s="336"/>
      <c r="B58" s="845"/>
      <c r="C58" s="867"/>
    </row>
    <row r="59" spans="1:3">
      <c r="A59" s="337"/>
      <c r="B59" s="846"/>
      <c r="C59" s="287"/>
    </row>
    <row r="60" spans="1:3">
      <c r="A60" s="337"/>
      <c r="B60" s="846"/>
      <c r="C60" s="287"/>
    </row>
    <row r="61" spans="1:3">
      <c r="A61" s="337"/>
      <c r="B61" s="846"/>
      <c r="C61" s="287"/>
    </row>
    <row r="62" spans="1:3">
      <c r="A62" s="337"/>
      <c r="B62" s="846"/>
      <c r="C62" s="287"/>
    </row>
    <row r="63" spans="1:3">
      <c r="A63" s="337"/>
      <c r="B63" s="846"/>
      <c r="C63" s="287"/>
    </row>
    <row r="64" spans="1:3">
      <c r="A64" s="337"/>
      <c r="B64" s="846"/>
      <c r="C64" s="287"/>
    </row>
    <row r="65" spans="1:3">
      <c r="A65" s="337"/>
      <c r="B65" s="846"/>
      <c r="C65" s="287"/>
    </row>
    <row r="66" spans="1:3">
      <c r="A66" s="337"/>
      <c r="B66" s="846"/>
      <c r="C66" s="287"/>
    </row>
  </sheetData>
  <pageMargins left="0.70866141732283472" right="0.70866141732283472" top="0.74803149606299213" bottom="0.74803149606299213" header="0.31496062992125984" footer="0.31496062992125984"/>
  <pageSetup paperSize="8" scale="74" orientation="landscape" r:id="rId1"/>
  <ignoredErrors>
    <ignoredError sqref="A29:A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M67"/>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63.36328125" style="195" customWidth="1"/>
    <col min="3" max="3" width="13.36328125" style="42" customWidth="1"/>
    <col min="4" max="11" width="9.08984375" customWidth="1"/>
    <col min="12" max="12" width="3.453125" customWidth="1"/>
    <col min="13" max="14" width="13.7265625" customWidth="1"/>
    <col min="15" max="15" width="5.08984375" customWidth="1"/>
  </cols>
  <sheetData>
    <row r="1" spans="1:28" s="31" customFormat="1" ht="21">
      <c r="A1" s="906" t="s">
        <v>239</v>
      </c>
      <c r="B1" s="915"/>
      <c r="C1" s="916"/>
      <c r="D1" s="916"/>
      <c r="E1" s="916"/>
      <c r="F1" s="916"/>
      <c r="G1" s="255"/>
      <c r="H1" s="255"/>
      <c r="I1" s="256"/>
      <c r="J1" s="256"/>
      <c r="K1" s="257"/>
      <c r="L1" s="257"/>
      <c r="M1" s="257"/>
      <c r="N1" s="257"/>
      <c r="O1" s="365" t="s">
        <v>84</v>
      </c>
    </row>
    <row r="2" spans="1:28" s="31" customFormat="1" ht="21">
      <c r="A2" s="909" t="str">
        <f>'RFPR cover'!C5</f>
        <v>WPD-SWEST</v>
      </c>
      <c r="B2" s="917"/>
      <c r="C2" s="901"/>
      <c r="D2" s="901"/>
      <c r="E2" s="901"/>
      <c r="F2" s="901"/>
      <c r="G2" s="29"/>
      <c r="H2" s="29"/>
      <c r="I2" s="27"/>
      <c r="J2" s="27"/>
      <c r="K2" s="27"/>
      <c r="L2" s="27"/>
      <c r="M2" s="27"/>
      <c r="N2" s="27"/>
      <c r="O2" s="122"/>
    </row>
    <row r="3" spans="1:28" s="31" customFormat="1" ht="22.8">
      <c r="A3" s="912">
        <f>'RFPR cover'!C7</f>
        <v>2020</v>
      </c>
      <c r="B3" s="918" t="str">
        <f>IF('RFPR cover'!C5=Data!B98,"Not required to be completed for System Operator",(IF('RFPR cover'!C5=Data!B96,"Not required to be completed for System Operator","")))</f>
        <v/>
      </c>
      <c r="C3" s="919"/>
      <c r="D3" s="919"/>
      <c r="E3" s="919"/>
      <c r="F3" s="919"/>
      <c r="G3" s="259"/>
      <c r="H3" s="259"/>
      <c r="I3" s="254"/>
      <c r="J3" s="254"/>
      <c r="K3" s="254"/>
      <c r="L3" s="254"/>
      <c r="M3" s="254"/>
      <c r="N3" s="254"/>
      <c r="O3" s="260"/>
    </row>
    <row r="4" spans="1:28" ht="12.75" customHeight="1"/>
    <row r="5" spans="1:28">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c r="L5" s="2"/>
      <c r="M5" s="2"/>
    </row>
    <row r="6" spans="1:28" ht="31.5" customHeight="1">
      <c r="C6" s="171"/>
      <c r="D6" s="116">
        <f>'RFPR cover'!$C$13</f>
        <v>2016</v>
      </c>
      <c r="E6" s="117">
        <f>D6+1</f>
        <v>2017</v>
      </c>
      <c r="F6" s="117">
        <f t="shared" ref="F6:K6" si="0">E6+1</f>
        <v>2018</v>
      </c>
      <c r="G6" s="117">
        <f t="shared" si="0"/>
        <v>2019</v>
      </c>
      <c r="H6" s="117">
        <f t="shared" si="0"/>
        <v>2020</v>
      </c>
      <c r="I6" s="117">
        <f t="shared" si="0"/>
        <v>2021</v>
      </c>
      <c r="J6" s="117">
        <f t="shared" si="0"/>
        <v>2022</v>
      </c>
      <c r="K6" s="194">
        <f t="shared" si="0"/>
        <v>2023</v>
      </c>
      <c r="L6" s="49"/>
      <c r="M6" s="100" t="str">
        <f>"Cumulative to "&amp;'RFPR cover'!$C$7</f>
        <v>Cumulative to 2020</v>
      </c>
      <c r="N6" s="193" t="s">
        <v>109</v>
      </c>
    </row>
    <row r="7" spans="1:28">
      <c r="C7" s="171"/>
      <c r="D7" s="171"/>
      <c r="E7" s="171"/>
      <c r="F7" s="171"/>
      <c r="G7" s="171"/>
      <c r="H7" s="171"/>
      <c r="I7" s="171"/>
      <c r="J7" s="171"/>
      <c r="K7" s="171"/>
      <c r="L7" s="171"/>
      <c r="M7" s="171"/>
      <c r="N7" s="171"/>
      <c r="O7" s="171"/>
    </row>
    <row r="8" spans="1:28">
      <c r="B8" s="529" t="s">
        <v>108</v>
      </c>
      <c r="C8" s="422"/>
      <c r="D8" s="422"/>
      <c r="E8" s="422"/>
      <c r="F8" s="422"/>
      <c r="G8" s="422"/>
      <c r="H8" s="422"/>
      <c r="I8" s="422"/>
      <c r="J8" s="422"/>
      <c r="K8" s="422"/>
      <c r="L8" s="530"/>
      <c r="M8" s="216"/>
      <c r="N8" s="216"/>
      <c r="O8" s="216"/>
    </row>
    <row r="9" spans="1:28">
      <c r="B9" s="196"/>
      <c r="D9" s="42"/>
      <c r="E9" s="42"/>
      <c r="F9" s="42"/>
      <c r="G9" s="42"/>
      <c r="H9" s="42"/>
      <c r="I9" s="42"/>
      <c r="J9" s="42"/>
      <c r="K9" s="42"/>
      <c r="L9" s="49"/>
    </row>
    <row r="10" spans="1:28">
      <c r="B10" s="251" t="s">
        <v>215</v>
      </c>
      <c r="C10" s="253" t="s">
        <v>7</v>
      </c>
      <c r="D10" s="506">
        <f t="shared" ref="D10:K19" si="1">D48/D$65</f>
        <v>6.4000000000000001E-2</v>
      </c>
      <c r="E10" s="508">
        <f t="shared" si="1"/>
        <v>6.4000000000000001E-2</v>
      </c>
      <c r="F10" s="508">
        <f t="shared" si="1"/>
        <v>6.4000000000000001E-2</v>
      </c>
      <c r="G10" s="508">
        <f t="shared" si="1"/>
        <v>6.4000000000000001E-2</v>
      </c>
      <c r="H10" s="508">
        <f t="shared" si="1"/>
        <v>6.4000000000000001E-2</v>
      </c>
      <c r="I10" s="508">
        <f t="shared" si="1"/>
        <v>6.4000000000000001E-2</v>
      </c>
      <c r="J10" s="508">
        <f t="shared" si="1"/>
        <v>6.4000000000000001E-2</v>
      </c>
      <c r="K10" s="507">
        <f t="shared" si="1"/>
        <v>6.4000000000000001E-2</v>
      </c>
      <c r="L10" s="172"/>
      <c r="M10" s="507">
        <f>AVERAGE(D48:INDEX(D48:K48,0,MATCH('RFPR cover'!$C$7,$D$6:$K$6,0)))/AVERAGE($D$65:INDEX($D$65:$K$65,0,MATCH('RFPR cover'!$C$7,$D$6:$K$6,0)))</f>
        <v>6.4000000000000001E-2</v>
      </c>
      <c r="N10" s="507">
        <f>AVERAGE(D48:K48)/AVERAGE($D$65:$K$65)</f>
        <v>6.4000000000000001E-2</v>
      </c>
      <c r="Q10" s="517"/>
      <c r="R10" s="517"/>
      <c r="S10" s="517"/>
      <c r="T10" s="517"/>
      <c r="U10" s="517"/>
      <c r="V10" s="517"/>
      <c r="W10" s="517"/>
      <c r="X10" s="517"/>
      <c r="Y10" s="517"/>
      <c r="Z10" s="517"/>
      <c r="AA10" s="517"/>
      <c r="AB10" s="172"/>
    </row>
    <row r="11" spans="1:28">
      <c r="B11" s="251" t="str">
        <f t="shared" ref="B11:B18" si="2">B49</f>
        <v>Totex outperformance</v>
      </c>
      <c r="C11" s="253" t="s">
        <v>7</v>
      </c>
      <c r="D11" s="174">
        <f t="shared" si="1"/>
        <v>6.9686986016843314E-3</v>
      </c>
      <c r="E11" s="175">
        <f t="shared" si="1"/>
        <v>-1.7321474566135659E-2</v>
      </c>
      <c r="F11" s="175">
        <f t="shared" si="1"/>
        <v>-2.8706829907332872E-2</v>
      </c>
      <c r="G11" s="175">
        <f t="shared" si="1"/>
        <v>3.6795554139516649E-2</v>
      </c>
      <c r="H11" s="175">
        <f t="shared" si="1"/>
        <v>1.2775520467294259E-2</v>
      </c>
      <c r="I11" s="175">
        <f t="shared" si="1"/>
        <v>2.7894794562349702E-2</v>
      </c>
      <c r="J11" s="175">
        <f t="shared" si="1"/>
        <v>5.3904637007138878E-3</v>
      </c>
      <c r="K11" s="176">
        <f t="shared" si="1"/>
        <v>7.0729489991354618E-3</v>
      </c>
      <c r="L11" s="172"/>
      <c r="M11" s="176">
        <f>AVERAGE(D49:INDEX(D49:K49,0,MATCH('RFPR cover'!$C$7,$D$6:$K$6,0)))/AVERAGE($D$65:INDEX($D$65:$K$65,0,MATCH('RFPR cover'!$C$7,$D$6:$K$6,0)))</f>
        <v>2.5805772923508732E-3</v>
      </c>
      <c r="N11" s="176">
        <f t="shared" ref="N11:N19" si="3">AVERAGE(D49:K49)/AVERAGE($D$65:$K$65)</f>
        <v>6.9276759463914655E-3</v>
      </c>
      <c r="P11" s="172"/>
      <c r="Q11" s="517"/>
      <c r="R11" s="517"/>
      <c r="S11" s="517"/>
      <c r="T11" s="517"/>
      <c r="U11" s="517"/>
      <c r="V11" s="517"/>
      <c r="W11" s="517"/>
      <c r="X11" s="517"/>
      <c r="Y11" s="517"/>
      <c r="Z11" s="517"/>
      <c r="AA11" s="517"/>
    </row>
    <row r="12" spans="1:28">
      <c r="B12" s="251" t="str">
        <f t="shared" si="2"/>
        <v>IQI Reward</v>
      </c>
      <c r="C12" s="253" t="s">
        <v>7</v>
      </c>
      <c r="D12" s="174">
        <f t="shared" si="1"/>
        <v>1.0136133897446964E-2</v>
      </c>
      <c r="E12" s="175">
        <f t="shared" si="1"/>
        <v>9.6582167964824883E-3</v>
      </c>
      <c r="F12" s="175">
        <f t="shared" si="1"/>
        <v>9.1800337839448715E-3</v>
      </c>
      <c r="G12" s="175">
        <f t="shared" si="1"/>
        <v>9.0306282824083126E-3</v>
      </c>
      <c r="H12" s="175">
        <f t="shared" si="1"/>
        <v>8.5660549009541707E-3</v>
      </c>
      <c r="I12" s="175">
        <f t="shared" si="1"/>
        <v>8.38187210708672E-3</v>
      </c>
      <c r="J12" s="175">
        <f t="shared" si="1"/>
        <v>8.0788838041958699E-3</v>
      </c>
      <c r="K12" s="176">
        <f t="shared" si="1"/>
        <v>8.1160686825429672E-3</v>
      </c>
      <c r="L12" s="172"/>
      <c r="M12" s="176">
        <f>AVERAGE(D50:INDEX(D50:K50,0,MATCH('RFPR cover'!$C$7,$D$6:$K$6,0)))/AVERAGE($D$65:INDEX($D$65:$K$65,0,MATCH('RFPR cover'!$C$7,$D$6:$K$6,0)))</f>
        <v>9.2842740792332401E-3</v>
      </c>
      <c r="N12" s="176">
        <f t="shared" si="3"/>
        <v>8.8356921498039601E-3</v>
      </c>
      <c r="Q12" s="517"/>
      <c r="R12" s="517"/>
      <c r="S12" s="517"/>
      <c r="T12" s="517"/>
      <c r="U12" s="517"/>
      <c r="V12" s="517"/>
      <c r="W12" s="517"/>
      <c r="X12" s="517"/>
      <c r="Y12" s="517"/>
      <c r="Z12" s="517"/>
      <c r="AA12" s="517"/>
    </row>
    <row r="13" spans="1:28">
      <c r="B13" s="251" t="str">
        <f t="shared" si="2"/>
        <v>Broad measure of customer service</v>
      </c>
      <c r="C13" s="253" t="s">
        <v>7</v>
      </c>
      <c r="D13" s="174">
        <f t="shared" si="1"/>
        <v>7.1751492897681058E-3</v>
      </c>
      <c r="E13" s="175">
        <f t="shared" si="1"/>
        <v>6.9228768726214626E-3</v>
      </c>
      <c r="F13" s="175">
        <f t="shared" si="1"/>
        <v>6.7024960418274214E-3</v>
      </c>
      <c r="G13" s="175">
        <f t="shared" si="1"/>
        <v>6.572784319196597E-3</v>
      </c>
      <c r="H13" s="175">
        <f t="shared" si="1"/>
        <v>6.6226075069805192E-3</v>
      </c>
      <c r="I13" s="175">
        <f t="shared" si="1"/>
        <v>6.2570252844535859E-3</v>
      </c>
      <c r="J13" s="175">
        <f t="shared" si="1"/>
        <v>6.0362719985039403E-3</v>
      </c>
      <c r="K13" s="176">
        <f t="shared" si="1"/>
        <v>5.7944288859910903E-3</v>
      </c>
      <c r="L13" s="172"/>
      <c r="M13" s="176">
        <f>AVERAGE(D51:INDEX(D51:K51,0,MATCH('RFPR cover'!$C$7,$D$6:$K$6,0)))/AVERAGE($D$65:INDEX($D$65:$K$65,0,MATCH('RFPR cover'!$C$7,$D$6:$K$6,0)))</f>
        <v>6.7874849032250979E-3</v>
      </c>
      <c r="N13" s="176">
        <f t="shared" si="3"/>
        <v>6.4745103630745697E-3</v>
      </c>
      <c r="Q13" s="517"/>
      <c r="R13" s="517"/>
      <c r="S13" s="517"/>
      <c r="T13" s="517"/>
      <c r="U13" s="517"/>
      <c r="V13" s="517"/>
      <c r="W13" s="517"/>
      <c r="X13" s="517"/>
      <c r="Y13" s="517"/>
      <c r="Z13" s="517"/>
      <c r="AA13" s="517"/>
    </row>
    <row r="14" spans="1:28">
      <c r="B14" s="251" t="str">
        <f t="shared" si="2"/>
        <v>Interruptions-related quality of service</v>
      </c>
      <c r="C14" s="253" t="s">
        <v>7</v>
      </c>
      <c r="D14" s="174">
        <f t="shared" si="1"/>
        <v>9.1924259499366247E-3</v>
      </c>
      <c r="E14" s="175">
        <f t="shared" si="1"/>
        <v>6.1379656520157925E-3</v>
      </c>
      <c r="F14" s="175">
        <f t="shared" si="1"/>
        <v>-6.2853101979811203E-4</v>
      </c>
      <c r="G14" s="175">
        <f t="shared" si="1"/>
        <v>5.5552775811094244E-3</v>
      </c>
      <c r="H14" s="175">
        <f t="shared" si="1"/>
        <v>8.8283160286729348E-3</v>
      </c>
      <c r="I14" s="175">
        <f t="shared" si="1"/>
        <v>3.6031699597583971E-3</v>
      </c>
      <c r="J14" s="175">
        <f t="shared" si="1"/>
        <v>3.2268078600094772E-3</v>
      </c>
      <c r="K14" s="176">
        <f t="shared" si="1"/>
        <v>2.858272496335159E-3</v>
      </c>
      <c r="L14" s="172"/>
      <c r="M14" s="176">
        <f>AVERAGE(D52:INDEX(D52:K52,0,MATCH('RFPR cover'!$C$7,$D$6:$K$6,0)))/AVERAGE($D$65:INDEX($D$65:$K$65,0,MATCH('RFPR cover'!$C$7,$D$6:$K$6,0)))</f>
        <v>5.7982043062229111E-3</v>
      </c>
      <c r="N14" s="176">
        <f t="shared" si="3"/>
        <v>4.7422293611285218E-3</v>
      </c>
      <c r="Q14" s="517"/>
      <c r="R14" s="517"/>
      <c r="S14" s="517"/>
      <c r="T14" s="517"/>
      <c r="U14" s="517"/>
      <c r="V14" s="517"/>
      <c r="W14" s="517"/>
      <c r="X14" s="517"/>
      <c r="Y14" s="517"/>
      <c r="Z14" s="517"/>
      <c r="AA14" s="517"/>
    </row>
    <row r="15" spans="1:28">
      <c r="B15" s="251" t="str">
        <f t="shared" si="2"/>
        <v>Incentive on connections engagement</v>
      </c>
      <c r="C15" s="253" t="s">
        <v>7</v>
      </c>
      <c r="D15" s="174">
        <f t="shared" si="1"/>
        <v>0</v>
      </c>
      <c r="E15" s="175">
        <f t="shared" si="1"/>
        <v>0</v>
      </c>
      <c r="F15" s="175">
        <f t="shared" si="1"/>
        <v>0</v>
      </c>
      <c r="G15" s="175">
        <f t="shared" si="1"/>
        <v>0</v>
      </c>
      <c r="H15" s="175">
        <f t="shared" si="1"/>
        <v>0</v>
      </c>
      <c r="I15" s="175">
        <f t="shared" si="1"/>
        <v>0</v>
      </c>
      <c r="J15" s="175">
        <f t="shared" si="1"/>
        <v>0</v>
      </c>
      <c r="K15" s="176">
        <f t="shared" si="1"/>
        <v>0</v>
      </c>
      <c r="L15" s="172"/>
      <c r="M15" s="176">
        <f>AVERAGE(D53:INDEX(D53:K53,0,MATCH('RFPR cover'!$C$7,$D$6:$K$6,0)))/AVERAGE($D$65:INDEX($D$65:$K$65,0,MATCH('RFPR cover'!$C$7,$D$6:$K$6,0)))</f>
        <v>0</v>
      </c>
      <c r="N15" s="176">
        <f t="shared" si="3"/>
        <v>0</v>
      </c>
      <c r="Q15" s="517"/>
      <c r="R15" s="517"/>
      <c r="S15" s="517"/>
      <c r="T15" s="517"/>
      <c r="U15" s="517"/>
      <c r="V15" s="517"/>
      <c r="W15" s="517"/>
      <c r="X15" s="517"/>
      <c r="Y15" s="517"/>
      <c r="Z15" s="517"/>
      <c r="AA15" s="517"/>
    </row>
    <row r="16" spans="1:28">
      <c r="B16" s="251" t="str">
        <f t="shared" si="2"/>
        <v>Time to Connect Incentive</v>
      </c>
      <c r="C16" s="253" t="s">
        <v>7</v>
      </c>
      <c r="D16" s="174">
        <f t="shared" si="1"/>
        <v>2.167571451181505E-3</v>
      </c>
      <c r="E16" s="175">
        <f t="shared" si="1"/>
        <v>1.7326708355234702E-3</v>
      </c>
      <c r="F16" s="175">
        <f t="shared" si="1"/>
        <v>2.0935837580893153E-3</v>
      </c>
      <c r="G16" s="175">
        <f t="shared" si="1"/>
        <v>2.0214621925869879E-3</v>
      </c>
      <c r="H16" s="175">
        <f t="shared" si="1"/>
        <v>1.9518122820409219E-3</v>
      </c>
      <c r="I16" s="175">
        <f t="shared" si="1"/>
        <v>1.5449856738372725E-3</v>
      </c>
      <c r="J16" s="175">
        <f t="shared" si="1"/>
        <v>1.4904772375213579E-3</v>
      </c>
      <c r="K16" s="176">
        <f t="shared" si="1"/>
        <v>1.4307612978915567E-3</v>
      </c>
      <c r="L16" s="172"/>
      <c r="M16" s="176">
        <f>AVERAGE(D54:INDEX(D54:K54,0,MATCH('RFPR cover'!$C$7,$D$6:$K$6,0)))/AVERAGE($D$65:INDEX($D$65:$K$65,0,MATCH('RFPR cover'!$C$7,$D$6:$K$6,0)))</f>
        <v>1.9921305471268373E-3</v>
      </c>
      <c r="N16" s="176">
        <f t="shared" si="3"/>
        <v>1.7853633382310706E-3</v>
      </c>
      <c r="Q16" s="517"/>
      <c r="R16" s="517"/>
      <c r="S16" s="517"/>
      <c r="T16" s="517"/>
      <c r="U16" s="517"/>
      <c r="V16" s="517"/>
      <c r="W16" s="517"/>
      <c r="X16" s="517"/>
      <c r="Y16" s="517"/>
      <c r="Z16" s="517"/>
      <c r="AA16" s="517"/>
    </row>
    <row r="17" spans="2:39">
      <c r="B17" s="251" t="str">
        <f t="shared" si="2"/>
        <v>Losses discretionary reward scheme</v>
      </c>
      <c r="C17" s="253" t="s">
        <v>7</v>
      </c>
      <c r="D17" s="174">
        <f t="shared" si="1"/>
        <v>0</v>
      </c>
      <c r="E17" s="175">
        <f t="shared" si="1"/>
        <v>7.273839635010731E-5</v>
      </c>
      <c r="F17" s="175">
        <f t="shared" si="1"/>
        <v>0</v>
      </c>
      <c r="G17" s="175">
        <f t="shared" si="1"/>
        <v>0</v>
      </c>
      <c r="H17" s="175">
        <f t="shared" si="1"/>
        <v>0</v>
      </c>
      <c r="I17" s="175">
        <f t="shared" si="1"/>
        <v>0</v>
      </c>
      <c r="J17" s="175">
        <f t="shared" si="1"/>
        <v>0</v>
      </c>
      <c r="K17" s="176">
        <f t="shared" si="1"/>
        <v>0</v>
      </c>
      <c r="L17" s="172"/>
      <c r="M17" s="176">
        <f>AVERAGE(D55:INDEX(D55:K55,0,MATCH('RFPR cover'!$C$7,$D$6:$K$6,0)))/AVERAGE($D$65:INDEX($D$65:$K$65,0,MATCH('RFPR cover'!$C$7,$D$6:$K$6,0)))</f>
        <v>1.4008560823199428E-5</v>
      </c>
      <c r="N17" s="176">
        <f t="shared" si="3"/>
        <v>8.2712376561770755E-6</v>
      </c>
      <c r="Q17" s="517"/>
      <c r="R17" s="517"/>
      <c r="S17" s="517"/>
      <c r="T17" s="517"/>
      <c r="U17" s="517"/>
      <c r="V17" s="517"/>
      <c r="W17" s="517"/>
      <c r="X17" s="517"/>
      <c r="Y17" s="517"/>
      <c r="Z17" s="517"/>
      <c r="AA17" s="517"/>
    </row>
    <row r="18" spans="2:39">
      <c r="B18" s="251" t="str">
        <f t="shared" si="2"/>
        <v xml:space="preserve">Network Innovation </v>
      </c>
      <c r="C18" s="253" t="s">
        <v>7</v>
      </c>
      <c r="D18" s="174">
        <f t="shared" si="1"/>
        <v>-9.1216701032435283E-5</v>
      </c>
      <c r="E18" s="175">
        <f t="shared" si="1"/>
        <v>1.608124183659196E-4</v>
      </c>
      <c r="F18" s="175">
        <f t="shared" si="1"/>
        <v>5.4389647652756067E-4</v>
      </c>
      <c r="G18" s="175">
        <f t="shared" si="1"/>
        <v>-1.8081322217656403E-4</v>
      </c>
      <c r="H18" s="175">
        <f t="shared" si="1"/>
        <v>-2.5359443447458684E-4</v>
      </c>
      <c r="I18" s="175">
        <f t="shared" si="1"/>
        <v>-2.6771963662554598E-4</v>
      </c>
      <c r="J18" s="175">
        <f t="shared" si="1"/>
        <v>-2.3320086777170847E-4</v>
      </c>
      <c r="K18" s="176">
        <f t="shared" si="1"/>
        <v>-1.9055495800902216E-4</v>
      </c>
      <c r="L18" s="172"/>
      <c r="M18" s="176">
        <f>AVERAGE(D56:INDEX(D56:K56,0,MATCH('RFPR cover'!$C$7,$D$6:$K$6,0)))/AVERAGE($D$65:INDEX($D$65:$K$65,0,MATCH('RFPR cover'!$C$7,$D$6:$K$6,0)))</f>
        <v>3.1221535921829224E-5</v>
      </c>
      <c r="N18" s="176">
        <f t="shared" si="3"/>
        <v>-7.5559364013184083E-5</v>
      </c>
      <c r="Q18" s="517"/>
      <c r="R18" s="517"/>
      <c r="S18" s="517"/>
      <c r="T18" s="517"/>
      <c r="U18" s="517"/>
      <c r="V18" s="517"/>
      <c r="W18" s="517"/>
      <c r="X18" s="517"/>
      <c r="Y18" s="517"/>
      <c r="Z18" s="517"/>
      <c r="AA18" s="517"/>
    </row>
    <row r="19" spans="2:39">
      <c r="B19" s="251" t="str">
        <f>B57</f>
        <v>Penalties and fines</v>
      </c>
      <c r="C19" s="253" t="s">
        <v>7</v>
      </c>
      <c r="D19" s="184">
        <f t="shared" si="1"/>
        <v>-5.4765410543402642E-6</v>
      </c>
      <c r="E19" s="185">
        <f t="shared" si="1"/>
        <v>-3.7809451736045379E-6</v>
      </c>
      <c r="F19" s="185">
        <f t="shared" si="1"/>
        <v>-6.0791530788818973E-6</v>
      </c>
      <c r="G19" s="185">
        <f t="shared" si="1"/>
        <v>-3.3170344562995835E-6</v>
      </c>
      <c r="H19" s="185">
        <f t="shared" si="1"/>
        <v>-6.4218604927718085E-6</v>
      </c>
      <c r="I19" s="185">
        <f t="shared" si="1"/>
        <v>-4.2316398961378209E-6</v>
      </c>
      <c r="J19" s="185">
        <f t="shared" si="1"/>
        <v>-3.9973992319550181E-6</v>
      </c>
      <c r="K19" s="186">
        <f t="shared" si="1"/>
        <v>-3.740914954498137E-6</v>
      </c>
      <c r="L19" s="172"/>
      <c r="M19" s="186">
        <f>AVERAGE(D57:INDEX(D57:K57,0,MATCH('RFPR cover'!$C$7,$D$6:$K$6,0)))/AVERAGE($D$65:INDEX($D$65:$K$65,0,MATCH('RFPR cover'!$C$7,$D$6:$K$6,0)))</f>
        <v>-5.0255415938709057E-6</v>
      </c>
      <c r="N19" s="186">
        <f t="shared" si="3"/>
        <v>-4.598843035845279E-6</v>
      </c>
      <c r="Q19" s="517"/>
      <c r="R19" s="517"/>
      <c r="S19" s="517"/>
      <c r="T19" s="517"/>
      <c r="U19" s="517"/>
      <c r="V19" s="517"/>
      <c r="W19" s="517"/>
      <c r="X19" s="517"/>
      <c r="Y19" s="517"/>
      <c r="Z19" s="517"/>
      <c r="AA19" s="517"/>
    </row>
    <row r="20" spans="2:39">
      <c r="B20" s="252" t="str">
        <f>B58</f>
        <v>RoRE - Operational performance</v>
      </c>
      <c r="C20" s="253" t="s">
        <v>7</v>
      </c>
      <c r="D20" s="187">
        <f t="shared" ref="D20:K20" si="4">SUM(D10:D19)</f>
        <v>9.9543285947930757E-2</v>
      </c>
      <c r="E20" s="188">
        <f t="shared" si="4"/>
        <v>7.1360025460049992E-2</v>
      </c>
      <c r="F20" s="188">
        <f t="shared" si="4"/>
        <v>5.3178569980179308E-2</v>
      </c>
      <c r="G20" s="188">
        <f t="shared" si="4"/>
        <v>0.12379157625818511</v>
      </c>
      <c r="H20" s="188">
        <f t="shared" si="4"/>
        <v>0.10248429489097544</v>
      </c>
      <c r="I20" s="188">
        <f t="shared" si="4"/>
        <v>0.11140989631096399</v>
      </c>
      <c r="J20" s="188">
        <f t="shared" si="4"/>
        <v>8.7985706333940872E-2</v>
      </c>
      <c r="K20" s="189">
        <f t="shared" si="4"/>
        <v>8.9078184488932718E-2</v>
      </c>
      <c r="L20" s="173"/>
      <c r="M20" s="189">
        <f>SUM(M10:M19)</f>
        <v>9.0482875683310121E-2</v>
      </c>
      <c r="N20" s="189">
        <f>SUM(N10:N19)</f>
        <v>9.2693584189236719E-2</v>
      </c>
      <c r="Q20" s="517"/>
      <c r="R20" s="517"/>
      <c r="S20" s="517"/>
      <c r="T20" s="517"/>
      <c r="U20" s="517"/>
      <c r="V20" s="517"/>
      <c r="W20" s="517"/>
      <c r="X20" s="517"/>
      <c r="Y20" s="517"/>
      <c r="Z20" s="517"/>
      <c r="AA20" s="517"/>
    </row>
    <row r="21" spans="2:39">
      <c r="B21" s="251" t="str">
        <f>B59</f>
        <v>Debt performance - at notional gearing</v>
      </c>
      <c r="C21" s="253" t="s">
        <v>7</v>
      </c>
      <c r="D21" s="174">
        <f>(D59)/D$65</f>
        <v>-1.1724050620716674E-2</v>
      </c>
      <c r="E21" s="175">
        <f t="shared" ref="E21:K21" si="5">(E59)/E$65</f>
        <v>-2.3078246206007292E-3</v>
      </c>
      <c r="F21" s="175">
        <f t="shared" si="5"/>
        <v>1.6920744387642728E-2</v>
      </c>
      <c r="G21" s="175">
        <f t="shared" si="5"/>
        <v>1.0923142187739975E-2</v>
      </c>
      <c r="H21" s="175">
        <f t="shared" si="5"/>
        <v>-1.2098524347333153E-3</v>
      </c>
      <c r="I21" s="175">
        <f t="shared" si="5"/>
        <v>-1.8725189487141095E-2</v>
      </c>
      <c r="J21" s="175">
        <f t="shared" si="5"/>
        <v>-1.895562918073522E-2</v>
      </c>
      <c r="K21" s="176">
        <f t="shared" si="5"/>
        <v>-1.6947548043608096E-2</v>
      </c>
      <c r="L21" s="172"/>
      <c r="M21" s="176">
        <f>AVERAGE(D59:INDEX(D59:K59,0,MATCH('RFPR cover'!$C$7,$D$6:$K$6,0)))/AVERAGE($D$65:INDEX($D$65:$K$65,0,MATCH('RFPR cover'!$C$7,$D$6:$K$6,0)))</f>
        <v>2.8116053062209865E-3</v>
      </c>
      <c r="N21" s="176">
        <f>AVERAGE(D59:K59)/AVERAGE($D$65:$K$65)</f>
        <v>-5.7880923282641926E-3</v>
      </c>
      <c r="Q21" s="517"/>
      <c r="R21" s="517"/>
      <c r="S21" s="517"/>
      <c r="T21" s="517"/>
      <c r="U21" s="517"/>
      <c r="V21" s="517"/>
      <c r="W21" s="517"/>
      <c r="X21" s="517"/>
      <c r="Y21" s="517"/>
      <c r="Z21" s="517"/>
      <c r="AA21" s="517"/>
    </row>
    <row r="22" spans="2:39">
      <c r="B22" s="251" t="str">
        <f>B61</f>
        <v>Tax performance - at notional gearing</v>
      </c>
      <c r="C22" s="253" t="s">
        <v>7</v>
      </c>
      <c r="D22" s="174">
        <f>(D61)/D$65</f>
        <v>1.0128604890646322E-4</v>
      </c>
      <c r="E22" s="175">
        <f t="shared" ref="E22:K22" si="6">(E61)/E$65</f>
        <v>1.3327324602854997E-2</v>
      </c>
      <c r="F22" s="175">
        <f t="shared" si="6"/>
        <v>-7.1334580492733871E-3</v>
      </c>
      <c r="G22" s="175">
        <f t="shared" si="6"/>
        <v>-3.3546079044944016E-4</v>
      </c>
      <c r="H22" s="175">
        <f t="shared" si="6"/>
        <v>-7.3214587702742267E-3</v>
      </c>
      <c r="I22" s="175">
        <f t="shared" si="6"/>
        <v>-9.7523786064443799E-3</v>
      </c>
      <c r="J22" s="175">
        <f t="shared" si="6"/>
        <v>-1.2729999799553839E-2</v>
      </c>
      <c r="K22" s="176">
        <f t="shared" si="6"/>
        <v>-1.0280488004978277E-2</v>
      </c>
      <c r="L22" s="172"/>
      <c r="M22" s="176">
        <f>AVERAGE(D61:INDEX(D61:K61,0,MATCH('RFPR cover'!$C$7,$D$6:$K$6,0)))/AVERAGE($D$65:INDEX($D$65:$K$65,0,MATCH('RFPR cover'!$C$7,$D$6:$K$6,0)))</f>
        <v>-4.9284091653994716E-4</v>
      </c>
      <c r="N22" s="176">
        <f>AVERAGE(D61:K61)/AVERAGE($D$65:$K$65)</f>
        <v>-4.7657372752112695E-3</v>
      </c>
      <c r="Q22" s="517"/>
      <c r="R22" s="517"/>
      <c r="S22" s="517"/>
      <c r="T22" s="517"/>
      <c r="U22" s="517"/>
      <c r="V22" s="517"/>
      <c r="W22" s="517"/>
      <c r="X22" s="517"/>
      <c r="Y22" s="517"/>
      <c r="Z22" s="517"/>
      <c r="AA22" s="517"/>
    </row>
    <row r="23" spans="2:39">
      <c r="B23" s="252" t="str">
        <f>B63</f>
        <v>RoRE - including financing and tax</v>
      </c>
      <c r="C23" s="253" t="s">
        <v>7</v>
      </c>
      <c r="D23" s="190">
        <f>SUM(D20:D22)</f>
        <v>8.7920521376120553E-2</v>
      </c>
      <c r="E23" s="191">
        <f t="shared" ref="E23:K23" si="7">SUM(E20:E22)</f>
        <v>8.2379525442304258E-2</v>
      </c>
      <c r="F23" s="191">
        <f t="shared" si="7"/>
        <v>6.2965856318548646E-2</v>
      </c>
      <c r="G23" s="191">
        <f t="shared" si="7"/>
        <v>0.13437925765547565</v>
      </c>
      <c r="H23" s="191">
        <f t="shared" si="7"/>
        <v>9.3952983685967897E-2</v>
      </c>
      <c r="I23" s="191">
        <f t="shared" si="7"/>
        <v>8.2932328217378504E-2</v>
      </c>
      <c r="J23" s="191">
        <f t="shared" si="7"/>
        <v>5.6300077353651813E-2</v>
      </c>
      <c r="K23" s="192">
        <f t="shared" si="7"/>
        <v>6.1850148440346343E-2</v>
      </c>
      <c r="L23" s="173"/>
      <c r="M23" s="192">
        <f>SUM(M20:M22)</f>
        <v>9.2801640072991159E-2</v>
      </c>
      <c r="N23" s="192">
        <f>SUM(N20:N22)</f>
        <v>8.2139754585761254E-2</v>
      </c>
      <c r="Q23" s="517"/>
      <c r="R23" s="517"/>
      <c r="S23" s="517"/>
      <c r="T23" s="517"/>
      <c r="U23" s="517"/>
      <c r="V23" s="517"/>
      <c r="W23" s="517"/>
      <c r="X23" s="517"/>
      <c r="Y23" s="517"/>
      <c r="Z23" s="517"/>
      <c r="AA23" s="517"/>
    </row>
    <row r="24" spans="2:39">
      <c r="Q24" s="517"/>
      <c r="R24" s="517"/>
      <c r="S24" s="517"/>
      <c r="T24" s="517"/>
      <c r="U24" s="517"/>
      <c r="V24" s="517"/>
      <c r="W24" s="517"/>
      <c r="X24" s="517"/>
      <c r="Y24" s="517"/>
      <c r="Z24" s="517"/>
      <c r="AA24" s="517"/>
    </row>
    <row r="25" spans="2:39">
      <c r="Q25" s="517"/>
      <c r="R25" s="517"/>
      <c r="S25" s="517"/>
      <c r="T25" s="517"/>
      <c r="U25" s="517"/>
      <c r="V25" s="517"/>
      <c r="W25" s="517"/>
      <c r="X25" s="517"/>
      <c r="Y25" s="517"/>
      <c r="Z25" s="517"/>
      <c r="AA25" s="517"/>
    </row>
    <row r="26" spans="2:39" s="31" customFormat="1">
      <c r="B26" s="468"/>
      <c r="C26" s="364"/>
      <c r="Q26" s="517"/>
      <c r="R26" s="517"/>
      <c r="S26" s="517"/>
      <c r="T26" s="517"/>
      <c r="U26" s="517"/>
      <c r="V26" s="517"/>
      <c r="W26" s="517"/>
      <c r="X26" s="517"/>
      <c r="Y26" s="517"/>
      <c r="Z26" s="517"/>
      <c r="AA26" s="517"/>
      <c r="AB26"/>
      <c r="AC26"/>
      <c r="AD26"/>
      <c r="AE26"/>
      <c r="AF26"/>
      <c r="AG26"/>
      <c r="AH26"/>
      <c r="AI26"/>
      <c r="AJ26"/>
      <c r="AK26"/>
      <c r="AL26"/>
      <c r="AM26"/>
    </row>
    <row r="27" spans="2:39">
      <c r="B27" s="529" t="s">
        <v>216</v>
      </c>
      <c r="C27" s="422"/>
      <c r="D27" s="216"/>
      <c r="E27" s="216"/>
      <c r="F27" s="216"/>
      <c r="G27" s="216"/>
      <c r="H27" s="216"/>
      <c r="I27" s="216"/>
      <c r="J27" s="216"/>
      <c r="K27" s="216"/>
      <c r="L27" s="530"/>
      <c r="M27" s="216"/>
      <c r="N27" s="216"/>
      <c r="O27" s="216"/>
      <c r="Q27" s="517"/>
      <c r="R27" s="517"/>
      <c r="S27" s="517"/>
      <c r="T27" s="517"/>
      <c r="U27" s="517"/>
      <c r="V27" s="517"/>
      <c r="W27" s="517"/>
      <c r="X27" s="517"/>
      <c r="Y27" s="517"/>
      <c r="Z27" s="517"/>
      <c r="AA27" s="517"/>
    </row>
    <row r="28" spans="2:39">
      <c r="B28" s="196"/>
      <c r="L28" s="49"/>
      <c r="Q28" s="517"/>
      <c r="R28" s="517"/>
      <c r="S28" s="517"/>
      <c r="T28" s="517"/>
      <c r="U28" s="517"/>
      <c r="V28" s="517"/>
      <c r="W28" s="517"/>
      <c r="X28" s="517"/>
      <c r="Y28" s="517"/>
      <c r="Z28" s="517"/>
      <c r="AA28" s="517"/>
    </row>
    <row r="29" spans="2:39">
      <c r="B29" s="251" t="s">
        <v>215</v>
      </c>
      <c r="C29" s="253" t="s">
        <v>7</v>
      </c>
      <c r="D29" s="174">
        <f t="shared" ref="D29:K38" si="8">D48/D$66</f>
        <v>5.1397151316431834E-2</v>
      </c>
      <c r="E29" s="175">
        <f t="shared" si="8"/>
        <v>5.4920790304626092E-2</v>
      </c>
      <c r="F29" s="175">
        <f t="shared" si="8"/>
        <v>5.4980963763460428E-2</v>
      </c>
      <c r="G29" s="175">
        <f t="shared" si="8"/>
        <v>5.5365782262283753E-2</v>
      </c>
      <c r="H29" s="175">
        <f t="shared" si="8"/>
        <v>5.699657747174354E-2</v>
      </c>
      <c r="I29" s="175">
        <f t="shared" si="8"/>
        <v>5.7526662315365185E-2</v>
      </c>
      <c r="J29" s="175">
        <f t="shared" si="8"/>
        <v>5.2709038130497876E-2</v>
      </c>
      <c r="K29" s="176">
        <f t="shared" si="8"/>
        <v>5.2255447053517368E-2</v>
      </c>
      <c r="L29" s="172"/>
      <c r="M29" s="507">
        <f>AVERAGE(D48:INDEX(D48:K48,0,MATCH('RFPR cover'!$C$7,$D$6:$K$6,0)))/AVERAGE($D$66:INDEX($D$66:$K$66,0,MATCH('RFPR cover'!$C$7,$D$6:$K$6,0)))</f>
        <v>5.4764966818917002E-2</v>
      </c>
      <c r="N29" s="507">
        <f>AVERAGE(D48:K48)/AVERAGE($D$66:$K$66)</f>
        <v>5.4448099752247014E-2</v>
      </c>
      <c r="P29" s="321"/>
      <c r="Q29" s="517"/>
      <c r="R29" s="517"/>
      <c r="S29" s="517"/>
      <c r="T29" s="517"/>
      <c r="U29" s="517"/>
      <c r="V29" s="517"/>
      <c r="W29" s="517"/>
      <c r="X29" s="517"/>
      <c r="Y29" s="517"/>
      <c r="Z29" s="517"/>
      <c r="AA29" s="517"/>
    </row>
    <row r="30" spans="2:39">
      <c r="B30" s="251" t="str">
        <f t="shared" ref="B30:B37" si="9">B49</f>
        <v>Totex outperformance</v>
      </c>
      <c r="C30" s="253" t="s">
        <v>7</v>
      </c>
      <c r="D30" s="174">
        <f t="shared" si="8"/>
        <v>5.5964258829590083E-3</v>
      </c>
      <c r="E30" s="175">
        <f t="shared" si="8"/>
        <v>-1.4864204256463292E-2</v>
      </c>
      <c r="F30" s="175">
        <f t="shared" si="8"/>
        <v>-2.4661393357795169E-2</v>
      </c>
      <c r="G30" s="175">
        <f t="shared" si="8"/>
        <v>3.1831478729821137E-2</v>
      </c>
      <c r="H30" s="175">
        <f t="shared" si="8"/>
        <v>1.1377514719624726E-2</v>
      </c>
      <c r="I30" s="175">
        <f t="shared" si="8"/>
        <v>2.5073350424137129E-2</v>
      </c>
      <c r="J30" s="175">
        <f t="shared" si="8"/>
        <v>4.4394711990936404E-3</v>
      </c>
      <c r="K30" s="176">
        <f t="shared" si="8"/>
        <v>5.7750017490086217E-3</v>
      </c>
      <c r="L30" s="172"/>
      <c r="M30" s="176">
        <f>AVERAGE(D49:INDEX(D49:K49,0,MATCH('RFPR cover'!$C$7,$D$6:$K$6,0)))/AVERAGE($D$66:INDEX($D$66:$K$66,0,MATCH('RFPR cover'!$C$7,$D$6:$K$6,0)))</f>
        <v>2.2082067154569726E-3</v>
      </c>
      <c r="N30" s="176">
        <f t="shared" ref="N30:N38" si="10">AVERAGE(D49:K49)/AVERAGE($D$66:$K$66)</f>
        <v>5.8937311090681999E-3</v>
      </c>
      <c r="Q30" s="517"/>
      <c r="R30" s="517"/>
      <c r="S30" s="517"/>
      <c r="T30" s="517"/>
      <c r="U30" s="517"/>
      <c r="V30" s="517"/>
      <c r="W30" s="517"/>
      <c r="X30" s="517"/>
      <c r="Y30" s="517"/>
      <c r="Z30" s="517"/>
      <c r="AA30" s="517"/>
    </row>
    <row r="31" spans="2:39">
      <c r="B31" s="251" t="str">
        <f t="shared" si="9"/>
        <v>IQI Reward</v>
      </c>
      <c r="C31" s="253" t="s">
        <v>7</v>
      </c>
      <c r="D31" s="174">
        <f t="shared" si="8"/>
        <v>8.1401313701671175E-3</v>
      </c>
      <c r="E31" s="175">
        <f t="shared" si="8"/>
        <v>8.2880765530661277E-3</v>
      </c>
      <c r="F31" s="175">
        <f t="shared" si="8"/>
        <v>7.8863610128502414E-3</v>
      </c>
      <c r="G31" s="175">
        <f t="shared" si="8"/>
        <v>7.8123093621162536E-3</v>
      </c>
      <c r="H31" s="175">
        <f t="shared" si="8"/>
        <v>7.6286845592100439E-3</v>
      </c>
      <c r="I31" s="175">
        <f t="shared" si="8"/>
        <v>7.5340800980461904E-3</v>
      </c>
      <c r="J31" s="175">
        <f t="shared" si="8"/>
        <v>6.6535967888628417E-3</v>
      </c>
      <c r="K31" s="176">
        <f t="shared" si="8"/>
        <v>6.6266999581771017E-3</v>
      </c>
      <c r="L31" s="172"/>
      <c r="M31" s="176">
        <f>AVERAGE(D50:INDEX(D50:K50,0,MATCH('RFPR cover'!$C$7,$D$6:$K$6,0)))/AVERAGE($D$66:INDEX($D$66:$K$66,0,MATCH('RFPR cover'!$C$7,$D$6:$K$6,0)))</f>
        <v>7.9445775294834323E-3</v>
      </c>
      <c r="N31" s="176">
        <f t="shared" si="10"/>
        <v>7.5169788680104982E-3</v>
      </c>
      <c r="Q31" s="517"/>
      <c r="R31" s="517"/>
      <c r="S31" s="517"/>
      <c r="T31" s="517"/>
      <c r="U31" s="517"/>
      <c r="V31" s="517"/>
      <c r="W31" s="517"/>
      <c r="X31" s="517"/>
      <c r="Y31" s="517"/>
      <c r="Z31" s="517"/>
      <c r="AA31" s="517"/>
    </row>
    <row r="32" spans="2:39">
      <c r="B32" s="251" t="str">
        <f t="shared" si="9"/>
        <v>Broad measure of customer service</v>
      </c>
      <c r="C32" s="253" t="s">
        <v>7</v>
      </c>
      <c r="D32" s="174">
        <f t="shared" si="8"/>
        <v>5.7622224025656215E-3</v>
      </c>
      <c r="E32" s="175">
        <f t="shared" si="8"/>
        <v>5.9407792035310785E-3</v>
      </c>
      <c r="F32" s="175">
        <f t="shared" si="8"/>
        <v>5.7579639375070369E-3</v>
      </c>
      <c r="G32" s="175">
        <f t="shared" si="8"/>
        <v>5.6860522730248714E-3</v>
      </c>
      <c r="H32" s="175">
        <f t="shared" si="8"/>
        <v>5.8979056536963359E-3</v>
      </c>
      <c r="I32" s="175">
        <f t="shared" si="8"/>
        <v>5.6241528224603632E-3</v>
      </c>
      <c r="J32" s="175">
        <f t="shared" si="8"/>
        <v>4.9713451708625128E-3</v>
      </c>
      <c r="K32" s="176">
        <f t="shared" si="8"/>
        <v>4.7311011227699849E-3</v>
      </c>
      <c r="L32" s="172"/>
      <c r="M32" s="176">
        <f>AVERAGE(D51:INDEX(D51:K51,0,MATCH('RFPR cover'!$C$7,$D$6:$K$6,0)))/AVERAGE($D$66:INDEX($D$66:$K$66,0,MATCH('RFPR cover'!$C$7,$D$6:$K$6,0)))</f>
        <v>5.8080685235784779E-3</v>
      </c>
      <c r="N32" s="176">
        <f t="shared" si="10"/>
        <v>5.5081997827443937E-3</v>
      </c>
      <c r="Q32" s="517"/>
      <c r="R32" s="517"/>
      <c r="S32" s="517"/>
      <c r="T32" s="517"/>
      <c r="U32" s="517"/>
      <c r="V32" s="517"/>
      <c r="W32" s="517"/>
      <c r="X32" s="517"/>
      <c r="Y32" s="517"/>
      <c r="Z32" s="517"/>
      <c r="AA32" s="517"/>
    </row>
    <row r="33" spans="2:39">
      <c r="B33" s="251" t="str">
        <f t="shared" si="9"/>
        <v>Interruptions-related quality of service</v>
      </c>
      <c r="C33" s="253" t="s">
        <v>7</v>
      </c>
      <c r="D33" s="174">
        <f t="shared" si="8"/>
        <v>7.382257929906052E-3</v>
      </c>
      <c r="E33" s="175">
        <f t="shared" si="8"/>
        <v>5.2672175698649506E-3</v>
      </c>
      <c r="F33" s="175">
        <f t="shared" si="8"/>
        <v>-5.3995689412079419E-4</v>
      </c>
      <c r="G33" s="175">
        <f t="shared" si="8"/>
        <v>4.805817015035168E-3</v>
      </c>
      <c r="H33" s="175">
        <f t="shared" si="8"/>
        <v>7.8622468511451906E-3</v>
      </c>
      <c r="I33" s="175">
        <f t="shared" si="8"/>
        <v>3.23872408656077E-3</v>
      </c>
      <c r="J33" s="175">
        <f t="shared" si="8"/>
        <v>2.6575302895785902E-3</v>
      </c>
      <c r="K33" s="176">
        <f t="shared" si="8"/>
        <v>2.3337547983869815E-3</v>
      </c>
      <c r="L33" s="172"/>
      <c r="M33" s="176">
        <f>AVERAGE(D52:INDEX(D52:K52,0,MATCH('RFPR cover'!$C$7,$D$6:$K$6,0)))/AVERAGE($D$66:INDEX($D$66:$K$66,0,MATCH('RFPR cover'!$C$7,$D$6:$K$6,0)))</f>
        <v>4.9615385381187411E-3</v>
      </c>
      <c r="N33" s="176">
        <f t="shared" si="10"/>
        <v>4.034459020355631E-3</v>
      </c>
      <c r="Q33" s="517"/>
      <c r="R33" s="517"/>
      <c r="S33" s="517"/>
      <c r="T33" s="517"/>
      <c r="U33" s="517"/>
      <c r="V33" s="517"/>
      <c r="W33" s="517"/>
      <c r="X33" s="517"/>
      <c r="Y33" s="517"/>
      <c r="Z33" s="517"/>
      <c r="AA33" s="517"/>
    </row>
    <row r="34" spans="2:39">
      <c r="B34" s="251" t="str">
        <f t="shared" si="9"/>
        <v>Incentive on connections engagement</v>
      </c>
      <c r="C34" s="253" t="s">
        <v>7</v>
      </c>
      <c r="D34" s="174">
        <f t="shared" si="8"/>
        <v>0</v>
      </c>
      <c r="E34" s="175">
        <f t="shared" si="8"/>
        <v>0</v>
      </c>
      <c r="F34" s="175">
        <f t="shared" si="8"/>
        <v>0</v>
      </c>
      <c r="G34" s="175">
        <f t="shared" si="8"/>
        <v>0</v>
      </c>
      <c r="H34" s="175">
        <f t="shared" si="8"/>
        <v>0</v>
      </c>
      <c r="I34" s="175">
        <f t="shared" si="8"/>
        <v>0</v>
      </c>
      <c r="J34" s="175">
        <f t="shared" si="8"/>
        <v>0</v>
      </c>
      <c r="K34" s="176">
        <f t="shared" si="8"/>
        <v>0</v>
      </c>
      <c r="L34" s="172"/>
      <c r="M34" s="176">
        <f>AVERAGE(D53:INDEX(D53:K53,0,MATCH('RFPR cover'!$C$7,$D$6:$K$6,0)))/AVERAGE($D$66:INDEX($D$66:$K$66,0,MATCH('RFPR cover'!$C$7,$D$6:$K$6,0)))</f>
        <v>0</v>
      </c>
      <c r="N34" s="176">
        <f t="shared" si="10"/>
        <v>0</v>
      </c>
      <c r="Q34" s="517"/>
      <c r="R34" s="517"/>
      <c r="S34" s="517"/>
      <c r="T34" s="517"/>
      <c r="U34" s="517"/>
      <c r="V34" s="517"/>
      <c r="W34" s="517"/>
      <c r="X34" s="517"/>
      <c r="Y34" s="517"/>
      <c r="Z34" s="517"/>
      <c r="AA34" s="517"/>
    </row>
    <row r="35" spans="2:39">
      <c r="B35" s="251" t="str">
        <f t="shared" si="9"/>
        <v>Time to Connect Incentive</v>
      </c>
      <c r="C35" s="253" t="s">
        <v>7</v>
      </c>
      <c r="D35" s="174">
        <f t="shared" si="8"/>
        <v>1.7407343416492743E-3</v>
      </c>
      <c r="E35" s="175">
        <f t="shared" si="8"/>
        <v>1.4868695566363404E-3</v>
      </c>
      <c r="F35" s="175">
        <f t="shared" si="8"/>
        <v>1.798550824051218E-3</v>
      </c>
      <c r="G35" s="175">
        <f t="shared" si="8"/>
        <v>1.7487474313470296E-3</v>
      </c>
      <c r="H35" s="175">
        <f t="shared" si="8"/>
        <v>1.7382284366194681E-3</v>
      </c>
      <c r="I35" s="175">
        <f t="shared" si="8"/>
        <v>1.3887167053267767E-3</v>
      </c>
      <c r="J35" s="175">
        <f t="shared" si="8"/>
        <v>1.2275253366430061E-3</v>
      </c>
      <c r="K35" s="176">
        <f t="shared" si="8"/>
        <v>1.1682042382530318E-3</v>
      </c>
      <c r="L35" s="172"/>
      <c r="M35" s="176">
        <f>AVERAGE(D54:INDEX(D54:K54,0,MATCH('RFPR cover'!$C$7,$D$6:$K$6,0)))/AVERAGE($D$66:INDEX($D$66:$K$66,0,MATCH('RFPR cover'!$C$7,$D$6:$K$6,0)))</f>
        <v>1.7046713017555037E-3</v>
      </c>
      <c r="N35" s="176">
        <f t="shared" si="10"/>
        <v>1.5189006427189073E-3</v>
      </c>
      <c r="Q35" s="517"/>
      <c r="R35" s="517"/>
      <c r="S35" s="517"/>
      <c r="T35" s="517"/>
      <c r="U35" s="517"/>
      <c r="V35" s="517"/>
      <c r="W35" s="517"/>
      <c r="X35" s="517"/>
      <c r="Y35" s="517"/>
      <c r="Z35" s="517"/>
      <c r="AA35" s="517"/>
    </row>
    <row r="36" spans="2:39">
      <c r="B36" s="251" t="str">
        <f t="shared" si="9"/>
        <v>Losses discretionary reward scheme</v>
      </c>
      <c r="C36" s="253" t="s">
        <v>7</v>
      </c>
      <c r="D36" s="174">
        <f t="shared" si="8"/>
        <v>0</v>
      </c>
      <c r="E36" s="175">
        <f t="shared" si="8"/>
        <v>6.2419534578734727E-5</v>
      </c>
      <c r="F36" s="175">
        <f t="shared" si="8"/>
        <v>0</v>
      </c>
      <c r="G36" s="175">
        <f t="shared" si="8"/>
        <v>0</v>
      </c>
      <c r="H36" s="175">
        <f t="shared" si="8"/>
        <v>0</v>
      </c>
      <c r="I36" s="175">
        <f t="shared" si="8"/>
        <v>0</v>
      </c>
      <c r="J36" s="175">
        <f t="shared" si="8"/>
        <v>0</v>
      </c>
      <c r="K36" s="176">
        <f t="shared" si="8"/>
        <v>0</v>
      </c>
      <c r="L36" s="172"/>
      <c r="M36" s="176">
        <f>AVERAGE(D55:INDEX(D55:K55,0,MATCH('RFPR cover'!$C$7,$D$6:$K$6,0)))/AVERAGE($D$66:INDEX($D$66:$K$66,0,MATCH('RFPR cover'!$C$7,$D$6:$K$6,0)))</f>
        <v>1.1987162010364021E-5</v>
      </c>
      <c r="N36" s="176">
        <f t="shared" si="10"/>
        <v>7.0367683277823621E-6</v>
      </c>
      <c r="Q36" s="517"/>
      <c r="R36" s="517"/>
      <c r="S36" s="517"/>
      <c r="T36" s="517"/>
      <c r="U36" s="517"/>
      <c r="V36" s="517"/>
      <c r="W36" s="517"/>
      <c r="X36" s="517"/>
      <c r="Y36" s="517"/>
      <c r="Z36" s="517"/>
      <c r="AA36" s="517"/>
    </row>
    <row r="37" spans="2:39">
      <c r="B37" s="251" t="str">
        <f t="shared" si="9"/>
        <v xml:space="preserve">Network Innovation </v>
      </c>
      <c r="C37" s="253" t="s">
        <v>7</v>
      </c>
      <c r="D37" s="174">
        <f t="shared" si="8"/>
        <v>-7.3254352899215628E-5</v>
      </c>
      <c r="E37" s="175">
        <f t="shared" si="8"/>
        <v>1.3799914230397612E-4</v>
      </c>
      <c r="F37" s="175">
        <f t="shared" si="8"/>
        <v>4.6724925729743155E-4</v>
      </c>
      <c r="G37" s="175">
        <f t="shared" si="8"/>
        <v>-1.5641977326827467E-4</v>
      </c>
      <c r="H37" s="175">
        <f t="shared" si="8"/>
        <v>-2.2584398173334028E-4</v>
      </c>
      <c r="I37" s="175">
        <f t="shared" si="8"/>
        <v>-2.4064089267734464E-4</v>
      </c>
      <c r="J37" s="175">
        <f t="shared" si="8"/>
        <v>-1.9205927236631522E-4</v>
      </c>
      <c r="K37" s="176">
        <f t="shared" si="8"/>
        <v>-1.5558647685977629E-4</v>
      </c>
      <c r="L37" s="172"/>
      <c r="M37" s="176">
        <f>AVERAGE(D56:INDEX(D56:K56,0,MATCH('RFPR cover'!$C$7,$D$6:$K$6,0)))/AVERAGE($D$66:INDEX($D$66:$K$66,0,MATCH('RFPR cover'!$C$7,$D$6:$K$6,0)))</f>
        <v>2.6716349668665672E-5</v>
      </c>
      <c r="N37" s="176">
        <f t="shared" si="10"/>
        <v>-6.4282246703221727E-5</v>
      </c>
      <c r="Q37" s="517"/>
      <c r="R37" s="517"/>
      <c r="S37" s="517"/>
      <c r="T37" s="517"/>
      <c r="U37" s="517"/>
      <c r="V37" s="517"/>
      <c r="W37" s="517"/>
      <c r="X37" s="517"/>
      <c r="Y37" s="517"/>
      <c r="Z37" s="517"/>
      <c r="AA37" s="517"/>
    </row>
    <row r="38" spans="2:39">
      <c r="B38" s="251" t="str">
        <f>B57</f>
        <v>Penalties and fines</v>
      </c>
      <c r="C38" s="253" t="s">
        <v>7</v>
      </c>
      <c r="D38" s="184">
        <f t="shared" si="8"/>
        <v>-4.3981032696965264E-6</v>
      </c>
      <c r="E38" s="185">
        <f t="shared" si="8"/>
        <v>-3.2445702661378577E-6</v>
      </c>
      <c r="F38" s="185">
        <f t="shared" si="8"/>
        <v>-5.2224639866021015E-6</v>
      </c>
      <c r="G38" s="185">
        <f t="shared" si="8"/>
        <v>-2.8695344916246174E-6</v>
      </c>
      <c r="H38" s="185">
        <f t="shared" si="8"/>
        <v>-5.7191260795155858E-6</v>
      </c>
      <c r="I38" s="185">
        <f t="shared" si="8"/>
        <v>-3.8036268647710536E-6</v>
      </c>
      <c r="J38" s="185">
        <f t="shared" si="8"/>
        <v>-3.2921729459365618E-6</v>
      </c>
      <c r="K38" s="186">
        <f t="shared" si="8"/>
        <v>-3.0544247396326362E-6</v>
      </c>
      <c r="L38" s="172"/>
      <c r="M38" s="186">
        <f>AVERAGE(D57:INDEX(D57:K57,0,MATCH('RFPR cover'!$C$7,$D$6:$K$6,0)))/AVERAGE($D$66:INDEX($D$66:$K$66,0,MATCH('RFPR cover'!$C$7,$D$6:$K$6,0)))</f>
        <v>-4.3003690411785539E-6</v>
      </c>
      <c r="N38" s="186">
        <f t="shared" si="10"/>
        <v>-3.9124728806348479E-6</v>
      </c>
      <c r="Q38" s="517"/>
      <c r="R38" s="517"/>
      <c r="S38" s="517"/>
      <c r="T38" s="517"/>
      <c r="U38" s="517"/>
      <c r="V38" s="517"/>
      <c r="W38" s="517"/>
      <c r="X38" s="517"/>
      <c r="Y38" s="517"/>
      <c r="Z38" s="517"/>
      <c r="AA38" s="517"/>
    </row>
    <row r="39" spans="2:39">
      <c r="B39" s="252" t="str">
        <f>B58</f>
        <v>RoRE - Operational performance</v>
      </c>
      <c r="C39" s="253" t="s">
        <v>7</v>
      </c>
      <c r="D39" s="187">
        <f t="shared" ref="D39:K39" si="11">SUM(D29:D38)</f>
        <v>7.9941270787509983E-2</v>
      </c>
      <c r="E39" s="188">
        <f t="shared" si="11"/>
        <v>6.1236703037877871E-2</v>
      </c>
      <c r="F39" s="188">
        <f t="shared" si="11"/>
        <v>4.5684516079263784E-2</v>
      </c>
      <c r="G39" s="188">
        <f t="shared" si="11"/>
        <v>0.10709089776586835</v>
      </c>
      <c r="H39" s="188">
        <f t="shared" si="11"/>
        <v>9.1269594584226468E-2</v>
      </c>
      <c r="I39" s="188">
        <f t="shared" si="11"/>
        <v>0.10014124193235431</v>
      </c>
      <c r="J39" s="188">
        <f t="shared" si="11"/>
        <v>7.2463155470226207E-2</v>
      </c>
      <c r="K39" s="189">
        <f t="shared" si="11"/>
        <v>7.2731568018513687E-2</v>
      </c>
      <c r="L39" s="173"/>
      <c r="M39" s="189">
        <f>SUM(M29:M38)</f>
        <v>7.7426432569947981E-2</v>
      </c>
      <c r="N39" s="189">
        <f>SUM(N29:N38)</f>
        <v>7.8859211223888573E-2</v>
      </c>
      <c r="Q39" s="517"/>
      <c r="R39" s="517"/>
      <c r="S39" s="517"/>
      <c r="T39" s="517"/>
      <c r="U39" s="517"/>
      <c r="V39" s="517"/>
      <c r="W39" s="517"/>
      <c r="X39" s="517"/>
      <c r="Y39" s="517"/>
      <c r="Z39" s="517"/>
      <c r="AA39" s="517"/>
    </row>
    <row r="40" spans="2:39">
      <c r="B40" s="251" t="s">
        <v>458</v>
      </c>
      <c r="C40" s="253" t="s">
        <v>7</v>
      </c>
      <c r="D40" s="174">
        <f>(D59+D60)/D$66</f>
        <v>-4.1550552006325483E-3</v>
      </c>
      <c r="E40" s="175">
        <f t="shared" ref="E40:K40" si="12">(E59+E60)/E$66</f>
        <v>8.9692352508504976E-4</v>
      </c>
      <c r="F40" s="175">
        <f t="shared" si="12"/>
        <v>1.5786330792983406E-2</v>
      </c>
      <c r="G40" s="175">
        <f t="shared" si="12"/>
        <v>1.0743195088560987E-2</v>
      </c>
      <c r="H40" s="175">
        <f t="shared" si="12"/>
        <v>3.9429368986005779E-4</v>
      </c>
      <c r="I40" s="175">
        <f t="shared" si="12"/>
        <v>-1.4918362834965504E-2</v>
      </c>
      <c r="J40" s="175">
        <f t="shared" si="12"/>
        <v>-1.2710402972582377E-2</v>
      </c>
      <c r="K40" s="176">
        <f t="shared" si="12"/>
        <v>-1.147914640677397E-2</v>
      </c>
      <c r="L40" s="172"/>
      <c r="M40" s="176">
        <f>(AVERAGE(D59:INDEX(D59:K59,0,MATCH('RFPR cover'!$C$7,$D$6:$K$6,0)))+AVERAGE(D60:INDEX(D60:K60,0,MATCH('RFPR cover'!$C$7,$D$6:$K$6,0))))/AVERAGE($D$66:INDEX($D$66:$K$66,0,MATCH('RFPR cover'!$C$7,$D$6:$K$6,0)))</f>
        <v>4.8072494381215291E-3</v>
      </c>
      <c r="N40" s="176">
        <f>(AVERAGE(D59:K59)+AVERAGE(D60:K60))/AVERAGE($D$66:$K$66)</f>
        <v>-2.5196763620849443E-3</v>
      </c>
      <c r="Q40" s="517"/>
      <c r="R40" s="517"/>
      <c r="S40" s="517"/>
      <c r="T40" s="517"/>
      <c r="U40" s="517"/>
      <c r="V40" s="517"/>
      <c r="W40" s="517"/>
      <c r="X40" s="517"/>
      <c r="Y40" s="517"/>
      <c r="Z40" s="517"/>
      <c r="AA40" s="517"/>
    </row>
    <row r="41" spans="2:39">
      <c r="B41" s="251" t="s">
        <v>459</v>
      </c>
      <c r="C41" s="253" t="s">
        <v>7</v>
      </c>
      <c r="D41" s="174">
        <f>(D61+D62)/D$66</f>
        <v>8.1340849717013186E-5</v>
      </c>
      <c r="E41" s="175">
        <f t="shared" ref="E41:K41" si="13">(E61+E62)/E$66</f>
        <v>1.143667499742318E-2</v>
      </c>
      <c r="F41" s="175">
        <f t="shared" si="13"/>
        <v>-6.1281937268010192E-3</v>
      </c>
      <c r="G41" s="175">
        <f t="shared" si="13"/>
        <v>-2.9020389189933325E-4</v>
      </c>
      <c r="H41" s="175">
        <f t="shared" si="13"/>
        <v>-6.520282687595488E-3</v>
      </c>
      <c r="I41" s="175">
        <f t="shared" si="13"/>
        <v>-8.7659654822580865E-3</v>
      </c>
      <c r="J41" s="175">
        <f t="shared" si="13"/>
        <v>-1.0484156950561152E-2</v>
      </c>
      <c r="K41" s="176">
        <f t="shared" si="13"/>
        <v>-8.3939296348197311E-3</v>
      </c>
      <c r="L41" s="172"/>
      <c r="M41" s="176">
        <f>(AVERAGE(D61:INDEX(D61:K61,0,MATCH('RFPR cover'!$C$7,$D$6:$K$6,0)))+AVERAGE(D62:INDEX(D62:K62,0,MATCH('RFPR cover'!$C$7,$D$6:$K$6,0))))/AVERAGE($D$66:INDEX($D$66:$K$66,0,MATCH('RFPR cover'!$C$7,$D$6:$K$6,0)))</f>
        <v>-4.2172525689554533E-4</v>
      </c>
      <c r="N41" s="176">
        <f>(AVERAGE(D61:K61)+AVERAGE(D62:K62))/AVERAGE($D$66:$K$66)</f>
        <v>-4.0544584149016429E-3</v>
      </c>
      <c r="Q41" s="517"/>
      <c r="R41" s="517"/>
      <c r="S41" s="517"/>
      <c r="T41" s="517"/>
      <c r="U41" s="517"/>
      <c r="V41" s="517"/>
      <c r="W41" s="517"/>
      <c r="X41" s="517"/>
      <c r="Y41" s="517"/>
      <c r="Z41" s="517"/>
      <c r="AA41" s="517"/>
    </row>
    <row r="42" spans="2:39">
      <c r="B42" s="252" t="str">
        <f>B63</f>
        <v>RoRE - including financing and tax</v>
      </c>
      <c r="C42" s="253" t="s">
        <v>7</v>
      </c>
      <c r="D42" s="190">
        <f>SUM(D39:D41)</f>
        <v>7.5867556436594458E-2</v>
      </c>
      <c r="E42" s="191">
        <f t="shared" ref="E42:K42" si="14">SUM(E39:E41)</f>
        <v>7.3570301560386103E-2</v>
      </c>
      <c r="F42" s="191">
        <f t="shared" si="14"/>
        <v>5.5342653145446168E-2</v>
      </c>
      <c r="G42" s="191">
        <f t="shared" si="14"/>
        <v>0.11754388896253</v>
      </c>
      <c r="H42" s="191">
        <f t="shared" si="14"/>
        <v>8.5143605586491047E-2</v>
      </c>
      <c r="I42" s="191">
        <f t="shared" si="14"/>
        <v>7.6456913615130725E-2</v>
      </c>
      <c r="J42" s="191">
        <f t="shared" si="14"/>
        <v>4.9268595547082676E-2</v>
      </c>
      <c r="K42" s="192">
        <f t="shared" si="14"/>
        <v>5.2858491976919983E-2</v>
      </c>
      <c r="L42" s="173"/>
      <c r="M42" s="192">
        <f>SUM(M39:M41)</f>
        <v>8.1811956751173961E-2</v>
      </c>
      <c r="N42" s="192">
        <f>SUM(N39:N41)</f>
        <v>7.2285076446901991E-2</v>
      </c>
      <c r="Q42" s="517"/>
      <c r="R42" s="517"/>
      <c r="S42" s="517"/>
      <c r="T42" s="517"/>
      <c r="U42" s="517"/>
      <c r="V42" s="517"/>
      <c r="W42" s="517"/>
      <c r="X42" s="517"/>
      <c r="Y42" s="517"/>
      <c r="Z42" s="517"/>
      <c r="AA42" s="517"/>
    </row>
    <row r="43" spans="2:39" s="31" customFormat="1">
      <c r="B43" s="469"/>
      <c r="C43" s="470"/>
      <c r="D43" s="471"/>
      <c r="E43" s="471"/>
      <c r="F43" s="471"/>
      <c r="G43" s="471"/>
      <c r="H43" s="471"/>
      <c r="I43" s="471"/>
      <c r="J43" s="471"/>
      <c r="K43" s="471"/>
      <c r="L43" s="472"/>
      <c r="M43" s="471"/>
      <c r="N43" s="471"/>
      <c r="Q43" s="517"/>
      <c r="R43" s="517"/>
      <c r="S43" s="517"/>
      <c r="T43" s="517"/>
      <c r="U43" s="517"/>
      <c r="V43" s="517"/>
      <c r="W43" s="517"/>
      <c r="X43" s="517"/>
      <c r="Y43" s="517"/>
      <c r="Z43" s="517"/>
      <c r="AA43" s="517"/>
      <c r="AB43"/>
      <c r="AC43"/>
      <c r="AD43"/>
      <c r="AE43"/>
      <c r="AF43"/>
      <c r="AG43"/>
      <c r="AH43"/>
      <c r="AI43"/>
      <c r="AJ43"/>
      <c r="AK43"/>
      <c r="AL43"/>
      <c r="AM43"/>
    </row>
    <row r="44" spans="2:39" s="31" customFormat="1">
      <c r="B44" s="469"/>
      <c r="C44" s="470"/>
      <c r="D44" s="471"/>
      <c r="E44" s="471"/>
      <c r="F44" s="471"/>
      <c r="G44" s="471"/>
      <c r="H44" s="471"/>
      <c r="I44" s="471"/>
      <c r="J44" s="471"/>
      <c r="K44" s="471"/>
      <c r="L44" s="472"/>
      <c r="M44" s="471"/>
      <c r="N44" s="471"/>
      <c r="Q44" s="517"/>
      <c r="R44" s="517"/>
      <c r="S44" s="517"/>
      <c r="T44" s="517"/>
      <c r="U44" s="517"/>
      <c r="V44" s="517"/>
      <c r="W44" s="517"/>
      <c r="X44" s="517"/>
      <c r="Y44" s="517"/>
      <c r="Z44" s="517"/>
      <c r="AA44" s="517"/>
      <c r="AB44"/>
      <c r="AC44"/>
      <c r="AD44"/>
      <c r="AE44"/>
      <c r="AF44"/>
      <c r="AG44"/>
      <c r="AH44"/>
      <c r="AI44"/>
      <c r="AJ44"/>
      <c r="AK44"/>
      <c r="AL44"/>
      <c r="AM44"/>
    </row>
    <row r="45" spans="2:39" s="31" customFormat="1">
      <c r="B45" s="523" t="s">
        <v>394</v>
      </c>
      <c r="C45" s="524"/>
      <c r="D45" s="525"/>
      <c r="E45" s="525"/>
      <c r="F45" s="525"/>
      <c r="G45" s="525"/>
      <c r="H45" s="525"/>
      <c r="I45" s="525"/>
      <c r="J45" s="525"/>
      <c r="K45" s="525"/>
      <c r="L45" s="526"/>
      <c r="M45" s="525"/>
      <c r="N45" s="525"/>
      <c r="O45" s="216"/>
      <c r="Q45" s="517"/>
      <c r="R45" s="517"/>
      <c r="S45" s="517"/>
      <c r="T45" s="517"/>
      <c r="U45" s="517"/>
      <c r="V45" s="517"/>
      <c r="W45" s="517"/>
      <c r="X45" s="517"/>
      <c r="Y45" s="517"/>
      <c r="Z45" s="517"/>
      <c r="AA45" s="517"/>
      <c r="AB45"/>
      <c r="AC45"/>
      <c r="AD45"/>
      <c r="AE45"/>
      <c r="AF45"/>
      <c r="AG45"/>
      <c r="AH45"/>
      <c r="AI45"/>
      <c r="AJ45"/>
      <c r="AK45"/>
      <c r="AL45"/>
      <c r="AM45"/>
    </row>
    <row r="46" spans="2:39" s="31"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Q46" s="517"/>
      <c r="R46" s="517"/>
      <c r="S46" s="517"/>
      <c r="T46" s="517"/>
      <c r="U46" s="517"/>
      <c r="V46" s="517"/>
      <c r="W46" s="517"/>
      <c r="X46" s="517"/>
      <c r="Y46" s="517"/>
      <c r="Z46" s="517"/>
      <c r="AA46" s="517"/>
      <c r="AB46"/>
      <c r="AC46"/>
      <c r="AD46"/>
      <c r="AE46"/>
      <c r="AF46"/>
      <c r="AG46"/>
      <c r="AH46"/>
      <c r="AI46"/>
      <c r="AJ46"/>
      <c r="AK46"/>
      <c r="AL46"/>
      <c r="AM46"/>
    </row>
    <row r="47" spans="2:39">
      <c r="Q47" s="517"/>
      <c r="R47" s="517"/>
      <c r="S47" s="517"/>
      <c r="T47" s="517"/>
      <c r="U47" s="517"/>
      <c r="V47" s="517"/>
      <c r="W47" s="517"/>
      <c r="X47" s="517"/>
      <c r="Y47" s="517"/>
      <c r="Z47" s="517"/>
      <c r="AA47" s="517"/>
    </row>
    <row r="48" spans="2:39">
      <c r="B48" s="246" t="s">
        <v>228</v>
      </c>
      <c r="C48" s="341" t="str">
        <f>'RFPR cover'!$C$14</f>
        <v>£m 12/13</v>
      </c>
      <c r="D48" s="177">
        <f>'R9 - RAV'!D50</f>
        <v>27.156807203709068</v>
      </c>
      <c r="E48" s="178">
        <f>'R9 - RAV'!E50</f>
        <v>28.50763976180156</v>
      </c>
      <c r="F48" s="178">
        <f>'R9 - RAV'!F50</f>
        <v>29.713642819226589</v>
      </c>
      <c r="G48" s="178">
        <f>'R9 - RAV'!G50</f>
        <v>30.773763777589448</v>
      </c>
      <c r="H48" s="178">
        <f>'R9 - RAV'!H50</f>
        <v>31.87191748529828</v>
      </c>
      <c r="I48" s="178">
        <f>'R9 - RAV'!I50</f>
        <v>32.947030038732358</v>
      </c>
      <c r="J48" s="178">
        <f>'R9 - RAV'!J50</f>
        <v>34.151940146350846</v>
      </c>
      <c r="K48" s="179">
        <f>'R9 - RAV'!K50</f>
        <v>35.577345767138503</v>
      </c>
      <c r="M48" s="94">
        <f>SUM(D48:INDEX(D48:K48,0,MATCH('RFPR cover'!$C$7,$D$6:$K$6,0)))</f>
        <v>148.02377104762493</v>
      </c>
      <c r="N48" s="94">
        <f>SUM(D48:K48)</f>
        <v>250.70008699984663</v>
      </c>
      <c r="Q48" s="517"/>
      <c r="R48" s="517"/>
      <c r="S48" s="517"/>
      <c r="T48" s="517"/>
      <c r="U48" s="517"/>
      <c r="V48" s="517"/>
      <c r="W48" s="517"/>
      <c r="X48" s="517"/>
      <c r="Y48" s="517"/>
      <c r="Z48" s="517"/>
      <c r="AA48" s="517"/>
    </row>
    <row r="49" spans="2:27">
      <c r="B49" s="246" t="s">
        <v>102</v>
      </c>
      <c r="C49" s="341" t="str">
        <f>'RFPR cover'!$C$14</f>
        <v>£m 12/13</v>
      </c>
      <c r="D49" s="250">
        <f>'R4 - Totex'!D35+'R4 - Totex'!D63</f>
        <v>2.9569938185421618</v>
      </c>
      <c r="E49" s="250">
        <f>'R4 - Totex'!E35+'R4 - Totex'!E63</f>
        <v>-7.7155368292906772</v>
      </c>
      <c r="F49" s="250">
        <f>'R4 - Totex'!F35+'R4 - Totex'!F63</f>
        <v>-13.327882661543445</v>
      </c>
      <c r="G49" s="250">
        <f>'R4 - Totex'!G35+'R4 - Totex'!G63</f>
        <v>17.692776424296703</v>
      </c>
      <c r="H49" s="250">
        <f>'R4 - Totex'!H35+'R4 - Totex'!H63</f>
        <v>6.3621927213334679</v>
      </c>
      <c r="I49" s="250">
        <f>'R4 - Totex'!I35+'R4 - Totex'!I63</f>
        <v>14.360166162031307</v>
      </c>
      <c r="J49" s="250">
        <f>'R4 - Totex'!J35+'R4 - Totex'!J63</f>
        <v>2.8764811510602746</v>
      </c>
      <c r="K49" s="250">
        <f>'R4 - Totex'!K35+'R4 - Totex'!K63</f>
        <v>3.9318242521184148</v>
      </c>
      <c r="M49" s="94">
        <f>SUM(D49:INDEX(D49:K49,0,MATCH('RFPR cover'!$C$7,$D$6:$K$6,0)))</f>
        <v>5.9685434733382117</v>
      </c>
      <c r="N49" s="94">
        <f>SUM(D49:K49)</f>
        <v>27.13701503854821</v>
      </c>
      <c r="Q49" s="517"/>
      <c r="R49" s="517"/>
      <c r="S49" s="517"/>
      <c r="T49" s="517"/>
      <c r="U49" s="517"/>
      <c r="V49" s="517"/>
      <c r="W49" s="517"/>
      <c r="X49" s="517"/>
      <c r="Y49" s="517"/>
      <c r="Z49" s="517"/>
      <c r="AA49" s="517"/>
    </row>
    <row r="50" spans="2:27">
      <c r="B50" s="248" t="s">
        <v>110</v>
      </c>
      <c r="C50" s="341" t="str">
        <f>'RFPR cover'!$C$14</f>
        <v>£m 12/13</v>
      </c>
      <c r="D50" s="241">
        <f>'R4 - Totex'!D79</f>
        <v>4.3010161569366776</v>
      </c>
      <c r="E50" s="180">
        <f>'R4 - Totex'!E79</f>
        <v>4.3020775808672473</v>
      </c>
      <c r="F50" s="180">
        <f>'R4 - Totex'!F79</f>
        <v>4.2620663269464218</v>
      </c>
      <c r="G50" s="180">
        <f>'R4 - Totex'!G79</f>
        <v>4.3422878363445587</v>
      </c>
      <c r="H50" s="180">
        <f>'R4 - Totex'!H79</f>
        <v>4.2658842965272852</v>
      </c>
      <c r="I50" s="180">
        <f>'R4 - Totex'!I79</f>
        <v>4.3149655014531101</v>
      </c>
      <c r="J50" s="180">
        <f>'R4 - Totex'!J79</f>
        <v>4.311086814534697</v>
      </c>
      <c r="K50" s="181">
        <f>'R4 - Totex'!K79</f>
        <v>4.5116903404480535</v>
      </c>
      <c r="M50" s="94">
        <f>SUM(D50:INDEX(D50:K50,0,MATCH('RFPR cover'!$C$7,$D$6:$K$6,0)))</f>
        <v>21.473332197622188</v>
      </c>
      <c r="N50" s="94">
        <f t="shared" ref="N50:N57" si="15">SUM(D50:K50)</f>
        <v>34.611074854058046</v>
      </c>
      <c r="Q50" s="517"/>
      <c r="R50" s="517"/>
      <c r="S50" s="517"/>
      <c r="T50" s="517"/>
      <c r="U50" s="517"/>
      <c r="V50" s="517"/>
      <c r="W50" s="517"/>
      <c r="X50" s="517"/>
      <c r="Y50" s="517"/>
      <c r="Z50" s="517"/>
      <c r="AA50" s="517"/>
    </row>
    <row r="51" spans="2:27">
      <c r="B51" s="249" t="str">
        <f>'R5 - Output Incentives'!B39</f>
        <v>Broad measure of customer service</v>
      </c>
      <c r="C51" s="341" t="str">
        <f>'RFPR cover'!$C$14</f>
        <v>£m 12/13</v>
      </c>
      <c r="D51" s="241">
        <f>'R5 - Output Incentives'!D39</f>
        <v>3.0445960300009767</v>
      </c>
      <c r="E51" s="180">
        <f>'R5 - Output Incentives'!E39</f>
        <v>3.0836700000000006</v>
      </c>
      <c r="F51" s="180">
        <f>'R5 - Output Incentives'!F39</f>
        <v>3.1118058341271873</v>
      </c>
      <c r="G51" s="180">
        <f>'R5 - Output Incentives'!G39</f>
        <v>3.1604580000000024</v>
      </c>
      <c r="H51" s="180">
        <f>'R5 - Output Incentives'!H39</f>
        <v>3.2980500000000008</v>
      </c>
      <c r="I51" s="180">
        <f>'R5 - Output Incentives'!I39</f>
        <v>3.221100000000003</v>
      </c>
      <c r="J51" s="180">
        <f>'R5 - Output Incentives'!J39</f>
        <v>3.221100000000003</v>
      </c>
      <c r="K51" s="181">
        <f>'R5 - Output Incentives'!K39</f>
        <v>3.221100000000003</v>
      </c>
      <c r="M51" s="94">
        <f>SUM(D51:INDEX(D51:K51,0,MATCH('RFPR cover'!$C$7,$D$6:$K$6,0)))</f>
        <v>15.698579864128167</v>
      </c>
      <c r="N51" s="94">
        <f t="shared" si="15"/>
        <v>25.361879864128177</v>
      </c>
      <c r="Q51" s="517"/>
      <c r="R51" s="517"/>
      <c r="S51" s="517"/>
      <c r="T51" s="517"/>
      <c r="U51" s="517"/>
      <c r="V51" s="517"/>
      <c r="W51" s="517"/>
      <c r="X51" s="517"/>
      <c r="Y51" s="517"/>
      <c r="Z51" s="517"/>
      <c r="AA51" s="517"/>
    </row>
    <row r="52" spans="2:27">
      <c r="B52" s="249" t="str">
        <f>'R5 - Output Incentives'!B40</f>
        <v>Interruptions-related quality of service</v>
      </c>
      <c r="C52" s="341" t="str">
        <f>'RFPR cover'!$C$14</f>
        <v>£m 12/13</v>
      </c>
      <c r="D52" s="241">
        <f>'R5 - Output Incentives'!D40</f>
        <v>3.9005771758875172</v>
      </c>
      <c r="E52" s="180">
        <f>'R5 - Output Incentives'!E40</f>
        <v>2.7340455262184005</v>
      </c>
      <c r="F52" s="180">
        <f>'R5 - Output Incentives'!F40</f>
        <v>-0.29181165973570838</v>
      </c>
      <c r="G52" s="180">
        <f>'R5 - Output Incentives'!G40</f>
        <v>2.6711999999999989</v>
      </c>
      <c r="H52" s="180">
        <f>'R5 - Output Incentives'!H40</f>
        <v>4.39649</v>
      </c>
      <c r="I52" s="180">
        <f>'R5 - Output Incentives'!I40</f>
        <v>1.8549023265440308</v>
      </c>
      <c r="J52" s="180">
        <f>'R5 - Output Incentives'!J40</f>
        <v>1.7219023265440332</v>
      </c>
      <c r="K52" s="181">
        <f>'R5 - Output Incentives'!K40</f>
        <v>1.5889023265440325</v>
      </c>
      <c r="M52" s="94">
        <f>SUM(D52:INDEX(D52:K52,0,MATCH('RFPR cover'!$C$7,$D$6:$K$6,0)))</f>
        <v>13.410501042370207</v>
      </c>
      <c r="N52" s="94">
        <f t="shared" si="15"/>
        <v>18.576208022002305</v>
      </c>
      <c r="Q52" s="517"/>
      <c r="R52" s="517"/>
      <c r="S52" s="517"/>
      <c r="T52" s="517"/>
      <c r="U52" s="517"/>
      <c r="V52" s="517"/>
      <c r="W52" s="517"/>
      <c r="X52" s="517"/>
      <c r="Y52" s="517"/>
      <c r="Z52" s="517"/>
      <c r="AA52" s="517"/>
    </row>
    <row r="53" spans="2:27">
      <c r="B53" s="249" t="str">
        <f>'R5 - Output Incentives'!B41</f>
        <v>Incentive on connections engagement</v>
      </c>
      <c r="C53" s="341" t="str">
        <f>'RFPR cover'!$C$14</f>
        <v>£m 12/13</v>
      </c>
      <c r="D53" s="241">
        <f>'R5 - Output Incentives'!D41</f>
        <v>0</v>
      </c>
      <c r="E53" s="180">
        <f>'R5 - Output Incentives'!E41</f>
        <v>0</v>
      </c>
      <c r="F53" s="180">
        <f>'R5 - Output Incentives'!F41</f>
        <v>0</v>
      </c>
      <c r="G53" s="180">
        <f>'R5 - Output Incentives'!G41</f>
        <v>0</v>
      </c>
      <c r="H53" s="180">
        <f>'R5 - Output Incentives'!H41</f>
        <v>0</v>
      </c>
      <c r="I53" s="180">
        <f>'R5 - Output Incentives'!I41</f>
        <v>0</v>
      </c>
      <c r="J53" s="180">
        <f>'R5 - Output Incentives'!J41</f>
        <v>0</v>
      </c>
      <c r="K53" s="181">
        <f>'R5 - Output Incentives'!K41</f>
        <v>0</v>
      </c>
      <c r="M53" s="94">
        <f>SUM(D53:INDEX(D53:K53,0,MATCH('RFPR cover'!$C$7,$D$6:$K$6,0)))</f>
        <v>0</v>
      </c>
      <c r="N53" s="94">
        <f t="shared" si="15"/>
        <v>0</v>
      </c>
      <c r="Q53" s="517"/>
      <c r="R53" s="517"/>
      <c r="S53" s="517"/>
      <c r="T53" s="517"/>
      <c r="U53" s="517"/>
      <c r="V53" s="517"/>
      <c r="W53" s="517"/>
      <c r="X53" s="517"/>
      <c r="Y53" s="517"/>
      <c r="Z53" s="517"/>
      <c r="AA53" s="517"/>
    </row>
    <row r="54" spans="2:27">
      <c r="B54" s="249" t="str">
        <f>'R5 - Output Incentives'!B42</f>
        <v>Time to Connect Incentive</v>
      </c>
      <c r="C54" s="341" t="str">
        <f>'RFPR cover'!$C$14</f>
        <v>£m 12/13</v>
      </c>
      <c r="D54" s="241">
        <f>'R5 - Output Incentives'!D42</f>
        <v>0.91975500000000021</v>
      </c>
      <c r="E54" s="180">
        <f>'R5 - Output Incentives'!E42</f>
        <v>0.77178681257629389</v>
      </c>
      <c r="F54" s="180">
        <f>'R5 - Output Incentives'!F42</f>
        <v>0.97199999999999998</v>
      </c>
      <c r="G54" s="180">
        <f>'R5 - Output Incentives'!G42</f>
        <v>0.97199999999999998</v>
      </c>
      <c r="H54" s="180">
        <f>'R5 - Output Incentives'!H42</f>
        <v>0.97199999999999998</v>
      </c>
      <c r="I54" s="180">
        <f>'R5 - Output Incentives'!I42</f>
        <v>0.79535452195824641</v>
      </c>
      <c r="J54" s="180">
        <f>'R5 - Output Incentives'!J42</f>
        <v>0.79535452195824641</v>
      </c>
      <c r="K54" s="181">
        <f>'R5 - Output Incentives'!K42</f>
        <v>0.79535452195824641</v>
      </c>
      <c r="M54" s="94">
        <f>SUM(D54:INDEX(D54:K54,0,MATCH('RFPR cover'!$C$7,$D$6:$K$6,0)))</f>
        <v>4.6075418125762937</v>
      </c>
      <c r="N54" s="94">
        <f t="shared" si="15"/>
        <v>6.9936053784510319</v>
      </c>
      <c r="Q54" s="517"/>
      <c r="R54" s="517"/>
      <c r="S54" s="517"/>
      <c r="T54" s="517"/>
      <c r="U54" s="517"/>
      <c r="V54" s="517"/>
      <c r="W54" s="517"/>
      <c r="X54" s="517"/>
      <c r="Y54" s="517"/>
      <c r="Z54" s="517"/>
      <c r="AA54" s="517"/>
    </row>
    <row r="55" spans="2:27">
      <c r="B55" s="249" t="str">
        <f>'R5 - Output Incentives'!B43</f>
        <v>Losses discretionary reward scheme</v>
      </c>
      <c r="C55" s="341" t="str">
        <f>'RFPR cover'!$C$14</f>
        <v>£m 12/13</v>
      </c>
      <c r="D55" s="241">
        <f>'R5 - Output Incentives'!D43</f>
        <v>0</v>
      </c>
      <c r="E55" s="180">
        <f>'R5 - Output Incentives'!E43</f>
        <v>3.2400000000000005E-2</v>
      </c>
      <c r="F55" s="180">
        <f>'R5 - Output Incentives'!F43</f>
        <v>0</v>
      </c>
      <c r="G55" s="180">
        <f>'R5 - Output Incentives'!G43</f>
        <v>0</v>
      </c>
      <c r="H55" s="180">
        <f>'R5 - Output Incentives'!H43</f>
        <v>0</v>
      </c>
      <c r="I55" s="180">
        <f>'R5 - Output Incentives'!I43</f>
        <v>0</v>
      </c>
      <c r="J55" s="180">
        <f>'R5 - Output Incentives'!J43</f>
        <v>0</v>
      </c>
      <c r="K55" s="181">
        <f>'R5 - Output Incentives'!K43</f>
        <v>0</v>
      </c>
      <c r="M55" s="94">
        <f>SUM(D55:INDEX(D55:K55,0,MATCH('RFPR cover'!$C$7,$D$6:$K$6,0)))</f>
        <v>3.2400000000000005E-2</v>
      </c>
      <c r="N55" s="94">
        <f t="shared" si="15"/>
        <v>3.2400000000000005E-2</v>
      </c>
      <c r="Q55" s="517"/>
      <c r="R55" s="517"/>
      <c r="S55" s="517"/>
      <c r="T55" s="517"/>
      <c r="U55" s="517"/>
      <c r="V55" s="517"/>
      <c r="W55" s="517"/>
      <c r="X55" s="517"/>
      <c r="Y55" s="517"/>
      <c r="Z55" s="517"/>
      <c r="AA55" s="517"/>
    </row>
    <row r="56" spans="2:27">
      <c r="B56" s="246" t="s">
        <v>500</v>
      </c>
      <c r="C56" s="341" t="str">
        <f>'RFPR cover'!$C$14</f>
        <v>£m 12/13</v>
      </c>
      <c r="D56" s="241">
        <f>-'R6 - Innovation'!D28</f>
        <v>-3.8705536932753359E-2</v>
      </c>
      <c r="E56" s="180">
        <f>-'R6 - Innovation'!E28</f>
        <v>7.1630976437496205E-2</v>
      </c>
      <c r="F56" s="180">
        <f>-'R6 - Innovation'!F28</f>
        <v>0.25251790053399681</v>
      </c>
      <c r="G56" s="180">
        <f>-'R6 - Innovation'!G28</f>
        <v>-8.6942240423849668E-2</v>
      </c>
      <c r="H56" s="180">
        <f>-'R6 - Innovation'!H28</f>
        <v>-0.12628970141101425</v>
      </c>
      <c r="I56" s="180">
        <f>-'R6 - Innovation'!I28</f>
        <v>-0.13782135796656836</v>
      </c>
      <c r="J56" s="180">
        <f>-'R6 - Innovation'!J28</f>
        <v>-0.12444159497213228</v>
      </c>
      <c r="K56" s="181">
        <f>-'R6 - Innovation'!K28</f>
        <v>-0.10592874419889906</v>
      </c>
      <c r="M56" s="94">
        <f>SUM(D56:INDEX(D56:K56,0,MATCH('RFPR cover'!$C$7,$D$6:$K$6,0)))</f>
        <v>7.2211398203875732E-2</v>
      </c>
      <c r="N56" s="94">
        <f t="shared" si="15"/>
        <v>-0.29598029893372396</v>
      </c>
      <c r="Q56" s="517"/>
      <c r="R56" s="517"/>
      <c r="S56" s="517"/>
      <c r="T56" s="517"/>
      <c r="U56" s="517"/>
      <c r="V56" s="517"/>
      <c r="W56" s="517"/>
      <c r="X56" s="517"/>
      <c r="Y56" s="517"/>
      <c r="Z56" s="517"/>
      <c r="AA56" s="517"/>
    </row>
    <row r="57" spans="2:27">
      <c r="B57" s="246" t="s">
        <v>35</v>
      </c>
      <c r="C57" s="341" t="str">
        <f>'RFPR cover'!$C$14</f>
        <v>£m 12/13</v>
      </c>
      <c r="D57" s="242">
        <f>-'R13 - Other Activities '!D8</f>
        <v>-2.3238338993111897E-3</v>
      </c>
      <c r="E57" s="242">
        <f>-'R13 - Other Activities '!E8</f>
        <v>-1.6841534838787566E-3</v>
      </c>
      <c r="F57" s="242">
        <f>-'R13 - Other Activities '!F8</f>
        <v>-2.8224028629577859E-3</v>
      </c>
      <c r="G57" s="242">
        <f>-'R13 - Other Activities '!G8</f>
        <v>-1.5949630437545035E-3</v>
      </c>
      <c r="H57" s="242">
        <f>-'R13 - Other Activities '!H8</f>
        <v>-3.1980782457456253E-3</v>
      </c>
      <c r="I57" s="242">
        <f>-'R13 - Other Activities '!I8</f>
        <v>-2.1784369807992354E-3</v>
      </c>
      <c r="J57" s="242">
        <f>-'R13 - Other Activities '!J8</f>
        <v>-2.1331084267311971E-3</v>
      </c>
      <c r="K57" s="242">
        <f>-'R13 - Other Activities '!K8</f>
        <v>-2.0795597628381159E-3</v>
      </c>
      <c r="M57" s="94">
        <f>SUM(D57:INDEX(D57:K57,0,MATCH('RFPR cover'!$C$7,$D$6:$K$6,0)))</f>
        <v>-1.1623431535647861E-2</v>
      </c>
      <c r="N57" s="94">
        <f t="shared" si="15"/>
        <v>-1.8014536706016413E-2</v>
      </c>
      <c r="Q57" s="517"/>
      <c r="R57" s="517"/>
      <c r="S57" s="517"/>
      <c r="T57" s="517"/>
      <c r="U57" s="517"/>
      <c r="V57" s="517"/>
      <c r="W57" s="517"/>
      <c r="X57" s="517"/>
      <c r="Y57" s="517"/>
      <c r="Z57" s="517"/>
      <c r="AA57" s="517"/>
    </row>
    <row r="58" spans="2:27">
      <c r="B58" s="247" t="s">
        <v>103</v>
      </c>
      <c r="C58" s="341" t="str">
        <f>'RFPR cover'!$C$14</f>
        <v>£m 12/13</v>
      </c>
      <c r="D58" s="243">
        <f t="shared" ref="D58:K58" si="16">SUM(D48:D57)</f>
        <v>42.238716014244339</v>
      </c>
      <c r="E58" s="142">
        <f t="shared" si="16"/>
        <v>31.786029675126446</v>
      </c>
      <c r="F58" s="142">
        <f t="shared" si="16"/>
        <v>24.689516156692083</v>
      </c>
      <c r="G58" s="142">
        <f t="shared" si="16"/>
        <v>59.523948834763104</v>
      </c>
      <c r="H58" s="142">
        <f t="shared" si="16"/>
        <v>51.037046723502279</v>
      </c>
      <c r="I58" s="142">
        <f t="shared" si="16"/>
        <v>57.353518755771681</v>
      </c>
      <c r="J58" s="142">
        <f t="shared" si="16"/>
        <v>46.95129025704923</v>
      </c>
      <c r="K58" s="143">
        <f t="shared" si="16"/>
        <v>49.518208904245512</v>
      </c>
      <c r="M58" s="141">
        <f>SUM(M48:M57)</f>
        <v>209.27525740432824</v>
      </c>
      <c r="N58" s="143">
        <f>SUM(N48:N57)</f>
        <v>363.09827532139468</v>
      </c>
      <c r="Q58" s="517"/>
      <c r="R58" s="517"/>
      <c r="S58" s="517"/>
      <c r="T58" s="517"/>
      <c r="U58" s="517"/>
      <c r="V58" s="517"/>
      <c r="W58" s="517"/>
      <c r="X58" s="517"/>
      <c r="Y58" s="517"/>
      <c r="Z58" s="517"/>
      <c r="AA58" s="517"/>
    </row>
    <row r="59" spans="2:27">
      <c r="B59" s="246" t="s">
        <v>439</v>
      </c>
      <c r="C59" s="341" t="str">
        <f>'RFPR cover'!$C$14</f>
        <v>£m 12/13</v>
      </c>
      <c r="D59" s="241">
        <f>'R7 - Financing'!D88+'R10 - Tax'!D89</f>
        <v>-4.9748090992707557</v>
      </c>
      <c r="E59" s="241">
        <f>'R7 - Financing'!E88+'R10 - Tax'!E89</f>
        <v>-1.0279786393359678</v>
      </c>
      <c r="F59" s="241">
        <f>'R7 - Financing'!F88+'R10 - Tax'!F89</f>
        <v>7.8558899214038895</v>
      </c>
      <c r="G59" s="241">
        <f>'R7 - Financing'!G88+'R10 - Tax'!G89</f>
        <v>5.2522843342895564</v>
      </c>
      <c r="H59" s="241">
        <f>'R7 - Financing'!H88+'R10 - Tax'!H89</f>
        <v>-0.60250495264386639</v>
      </c>
      <c r="I59" s="241">
        <f>'R7 - Financing'!I88+'R10 - Tax'!I89</f>
        <v>-9.639677820528016</v>
      </c>
      <c r="J59" s="241">
        <f>'R7 - Financing'!J88+'R10 - Tax'!J89</f>
        <v>-10.115179894013918</v>
      </c>
      <c r="K59" s="241">
        <f>'R7 - Financing'!K88+'R10 - Tax'!K89</f>
        <v>-9.4210746351974528</v>
      </c>
      <c r="M59" s="94">
        <f>SUM(D59:INDEX(D59:K59,0,MATCH('RFPR cover'!$C$7,$D$6:$K$6,0)))</f>
        <v>6.5028815644428555</v>
      </c>
      <c r="N59" s="94">
        <f>SUM(D59:K59)</f>
        <v>-22.673050785296532</v>
      </c>
      <c r="Q59" s="517"/>
      <c r="R59" s="517"/>
      <c r="S59" s="517"/>
      <c r="T59" s="517"/>
      <c r="U59" s="517"/>
      <c r="V59" s="517"/>
      <c r="W59" s="517"/>
      <c r="X59" s="517"/>
      <c r="Y59" s="517"/>
      <c r="Z59" s="517"/>
      <c r="AA59" s="517"/>
    </row>
    <row r="60" spans="2:27">
      <c r="B60" s="246" t="s">
        <v>434</v>
      </c>
      <c r="C60" s="341" t="str">
        <f>'RFPR cover'!$C$14</f>
        <v>£m 12/13</v>
      </c>
      <c r="D60" s="241">
        <f>'R7 - Financing'!D90+'R10 - Tax'!D90</f>
        <v>2.7793949544352201</v>
      </c>
      <c r="E60" s="241">
        <f>'R7 - Financing'!E90+'R10 - Tax'!E90</f>
        <v>1.4935431842958395</v>
      </c>
      <c r="F60" s="241">
        <f>'R7 - Financing'!F90+'R10 - Tax'!F90</f>
        <v>0.67559738803836211</v>
      </c>
      <c r="G60" s="241">
        <f>'R7 - Financing'!G90+'R10 - Tax'!G90</f>
        <v>0.71906718217139542</v>
      </c>
      <c r="H60" s="241">
        <f>'R7 - Financing'!H90+'R10 - Tax'!H90</f>
        <v>0.82299005026966121</v>
      </c>
      <c r="I60" s="241">
        <f>'R7 - Financing'!I90+'R10 - Tax'!I90</f>
        <v>1.0955396997068703</v>
      </c>
      <c r="J60" s="241">
        <f>'R7 - Financing'!J90+'R10 - Tax'!J90</f>
        <v>1.8796867613007229</v>
      </c>
      <c r="K60" s="241">
        <f>'R7 - Financing'!K90+'R10 - Tax'!K90</f>
        <v>1.6056681301656794</v>
      </c>
      <c r="M60" s="94">
        <f>SUM(D60:INDEX(D60:K60,0,MATCH('RFPR cover'!$C$7,$D$6:$K$6,0)))</f>
        <v>6.490592759210478</v>
      </c>
      <c r="N60" s="94">
        <f>SUM(D60:K60)</f>
        <v>11.07148735038375</v>
      </c>
      <c r="Q60" s="517"/>
      <c r="R60" s="517"/>
      <c r="S60" s="517"/>
      <c r="T60" s="517"/>
      <c r="U60" s="517"/>
      <c r="V60" s="517"/>
      <c r="W60" s="517"/>
      <c r="X60" s="517"/>
      <c r="Y60" s="517"/>
      <c r="Z60" s="517"/>
      <c r="AA60" s="517"/>
    </row>
    <row r="61" spans="2:27">
      <c r="B61" s="246" t="s">
        <v>440</v>
      </c>
      <c r="C61" s="341" t="str">
        <f>'RFPR cover'!$C$14</f>
        <v>£m 12/13</v>
      </c>
      <c r="D61" s="241">
        <f>'R10 - Tax'!D82-'R10 - Tax'!D89</f>
        <v>4.2978214102785461E-2</v>
      </c>
      <c r="E61" s="241">
        <f>'R10 - Tax'!E82-'R10 - Tax'!E89</f>
        <v>5.9364151369810196</v>
      </c>
      <c r="F61" s="241">
        <f>'R10 - Tax'!F82-'R10 - Tax'!F89</f>
        <v>-3.3118910084694733</v>
      </c>
      <c r="G61" s="241">
        <f>'R10 - Tax'!G82-'R10 - Tax'!G89</f>
        <v>-0.16130298628022666</v>
      </c>
      <c r="H61" s="241">
        <f>'R10 - Tax'!H82-'R10 - Tax'!H89</f>
        <v>-3.6460770280967743</v>
      </c>
      <c r="I61" s="241">
        <f>'R10 - Tax'!I82-'R10 - Tax'!I89</f>
        <v>-5.0204986077439653</v>
      </c>
      <c r="J61" s="241">
        <f>'R10 - Tax'!J82-'R10 - Tax'!J89</f>
        <v>-6.7930342377722024</v>
      </c>
      <c r="K61" s="241">
        <f>'R10 - Tax'!K82-'R10 - Tax'!K89</f>
        <v>-5.714882443875501</v>
      </c>
      <c r="M61" s="94">
        <f>SUM(D61:INDEX(D61:K61,0,MATCH('RFPR cover'!$C$7,$D$6:$K$6,0)))</f>
        <v>-1.1398776717626684</v>
      </c>
      <c r="N61" s="94">
        <f>SUM(D61:K61)</f>
        <v>-18.668292961154336</v>
      </c>
      <c r="Q61" s="517"/>
      <c r="R61" s="517"/>
      <c r="S61" s="517"/>
      <c r="T61" s="517"/>
      <c r="U61" s="517"/>
      <c r="V61" s="517"/>
      <c r="W61" s="517"/>
      <c r="X61" s="517"/>
      <c r="Y61" s="517"/>
      <c r="Z61" s="517"/>
      <c r="AA61" s="517"/>
    </row>
    <row r="62" spans="2:27">
      <c r="B62" s="246" t="s">
        <v>435</v>
      </c>
      <c r="C62" s="341" t="str">
        <f>'RFPR cover'!$C$14</f>
        <v>£m 12/13</v>
      </c>
      <c r="D62" s="241">
        <f>'R10 - Tax'!D84-'R10 - Tax'!D90</f>
        <v>-1.3322676295501878E-15</v>
      </c>
      <c r="E62" s="241">
        <f>'R10 - Tax'!E84-'R10 - Tax'!E90</f>
        <v>4.4408920985006262E-16</v>
      </c>
      <c r="F62" s="241">
        <f>'R10 - Tax'!F84-'R10 - Tax'!F90</f>
        <v>0</v>
      </c>
      <c r="G62" s="241">
        <f>'R10 - Tax'!G84-'R10 - Tax'!G90</f>
        <v>-2.2204460492503131E-16</v>
      </c>
      <c r="H62" s="241">
        <f>'R10 - Tax'!H84-'R10 - Tax'!H90</f>
        <v>-8.8817841970012523E-16</v>
      </c>
      <c r="I62" s="241">
        <f>'R10 - Tax'!I84-'R10 - Tax'!I90</f>
        <v>4.4408920985006262E-16</v>
      </c>
      <c r="J62" s="241">
        <f>'R10 - Tax'!J84-'R10 - Tax'!J90</f>
        <v>-1.3322676295501878E-15</v>
      </c>
      <c r="K62" s="241">
        <f>'R10 - Tax'!K84-'R10 - Tax'!K90</f>
        <v>-6.6613381477509392E-16</v>
      </c>
      <c r="M62" s="94">
        <f>SUM(D62:INDEX(D62:K62,0,MATCH('RFPR cover'!$C$7,$D$6:$K$6,0)))</f>
        <v>-1.9984014443252818E-15</v>
      </c>
      <c r="N62" s="94">
        <f>SUM(D62:K62)</f>
        <v>-3.5527136788005009E-15</v>
      </c>
      <c r="Q62" s="517"/>
      <c r="R62" s="517"/>
      <c r="S62" s="517"/>
      <c r="T62" s="517"/>
      <c r="U62" s="517"/>
      <c r="V62" s="517"/>
      <c r="W62" s="517"/>
      <c r="X62" s="517"/>
      <c r="Y62" s="517"/>
      <c r="Z62" s="517"/>
      <c r="AA62" s="517"/>
    </row>
    <row r="63" spans="2:27">
      <c r="B63" s="247" t="s">
        <v>104</v>
      </c>
      <c r="C63" s="341" t="str">
        <f>'RFPR cover'!$C$14</f>
        <v>£m 12/13</v>
      </c>
      <c r="D63" s="244">
        <f>SUM(D58:D62)</f>
        <v>40.086280083511589</v>
      </c>
      <c r="E63" s="145">
        <f t="shared" ref="E63:K63" si="17">SUM(E58:E62)</f>
        <v>38.188009357067337</v>
      </c>
      <c r="F63" s="145">
        <f t="shared" si="17"/>
        <v>29.909112457664861</v>
      </c>
      <c r="G63" s="145">
        <f t="shared" si="17"/>
        <v>65.333997364943826</v>
      </c>
      <c r="H63" s="145">
        <f t="shared" si="17"/>
        <v>47.611454793031292</v>
      </c>
      <c r="I63" s="145">
        <f t="shared" si="17"/>
        <v>43.788882027206569</v>
      </c>
      <c r="J63" s="145">
        <f t="shared" si="17"/>
        <v>31.922762886563831</v>
      </c>
      <c r="K63" s="146">
        <f t="shared" si="17"/>
        <v>35.987919955338235</v>
      </c>
      <c r="M63" s="144">
        <f>SUM(M58:M62)</f>
        <v>221.1288540562189</v>
      </c>
      <c r="N63" s="146">
        <f>SUM(N58:N62)</f>
        <v>332.82841892532753</v>
      </c>
      <c r="Q63" s="517"/>
      <c r="R63" s="517"/>
      <c r="S63" s="517"/>
      <c r="T63" s="517"/>
      <c r="U63" s="517"/>
      <c r="V63" s="517"/>
      <c r="W63" s="517"/>
      <c r="X63" s="517"/>
      <c r="Y63" s="517"/>
      <c r="Z63" s="517"/>
      <c r="AA63" s="517"/>
    </row>
    <row r="64" spans="2:27">
      <c r="B64" s="246"/>
      <c r="D64" s="419"/>
      <c r="Q64" s="517"/>
      <c r="R64" s="517"/>
      <c r="S64" s="517"/>
      <c r="T64" s="517"/>
      <c r="U64" s="517"/>
      <c r="V64" s="517"/>
      <c r="W64" s="517"/>
      <c r="X64" s="517"/>
      <c r="Y64" s="517"/>
      <c r="Z64" s="517"/>
      <c r="AA64" s="517"/>
    </row>
    <row r="65" spans="2:27">
      <c r="B65" s="246" t="s">
        <v>232</v>
      </c>
      <c r="C65" s="341" t="str">
        <f>'RFPR cover'!$C$14</f>
        <v>£m 12/13</v>
      </c>
      <c r="D65" s="240">
        <f>'R9 - RAV'!D46</f>
        <v>424.32511255795418</v>
      </c>
      <c r="E65" s="178">
        <f>'R9 - RAV'!E46</f>
        <v>445.43187127814934</v>
      </c>
      <c r="F65" s="178">
        <f>'R9 - RAV'!F46</f>
        <v>464.27566905041544</v>
      </c>
      <c r="G65" s="178">
        <f>'R9 - RAV'!G46</f>
        <v>480.84005902483511</v>
      </c>
      <c r="H65" s="178">
        <f>'R9 - RAV'!H46</f>
        <v>497.99871070778562</v>
      </c>
      <c r="I65" s="178">
        <f>'R9 - RAV'!I46</f>
        <v>514.7973443551931</v>
      </c>
      <c r="J65" s="178">
        <f>'R9 - RAV'!J46</f>
        <v>533.62406478673199</v>
      </c>
      <c r="K65" s="179">
        <f>'R9 - RAV'!K46</f>
        <v>555.89602761153913</v>
      </c>
      <c r="Q65" s="517"/>
      <c r="R65" s="517"/>
      <c r="S65" s="517"/>
      <c r="T65" s="517"/>
      <c r="U65" s="517"/>
      <c r="V65" s="517"/>
      <c r="W65" s="517"/>
      <c r="X65" s="517"/>
      <c r="Y65" s="517"/>
      <c r="Z65" s="517"/>
      <c r="AA65" s="517"/>
    </row>
    <row r="66" spans="2:27">
      <c r="B66" s="246" t="s">
        <v>107</v>
      </c>
      <c r="C66" s="341" t="str">
        <f>'RFPR cover'!$C$14</f>
        <v>£m 12/13</v>
      </c>
      <c r="D66" s="245">
        <f>'R8 - Net Debt'!D62</f>
        <v>528.37183595089539</v>
      </c>
      <c r="E66" s="182">
        <f>'R8 - Net Debt'!E62</f>
        <v>519.06827275572368</v>
      </c>
      <c r="F66" s="182">
        <f>'R8 - Net Debt'!F62</f>
        <v>540.43510308514919</v>
      </c>
      <c r="G66" s="182">
        <f>'R8 - Net Debt'!G62</f>
        <v>555.82640613303738</v>
      </c>
      <c r="H66" s="182">
        <f>'R8 - Net Debt'!H62</f>
        <v>559.19002331497904</v>
      </c>
      <c r="I66" s="182">
        <f>'R8 - Net Debt'!I62</f>
        <v>572.72625792392466</v>
      </c>
      <c r="J66" s="182">
        <f>'R8 - Net Debt'!J62</f>
        <v>647.93328350627326</v>
      </c>
      <c r="K66" s="183">
        <f>'R8 - Net Debt'!K62</f>
        <v>680.83516213538462</v>
      </c>
      <c r="Q66" s="517"/>
      <c r="R66" s="517"/>
      <c r="S66" s="517"/>
      <c r="T66" s="517"/>
      <c r="U66" s="517"/>
      <c r="V66" s="517"/>
      <c r="W66" s="517"/>
      <c r="X66" s="517"/>
      <c r="Y66" s="517"/>
      <c r="Z66" s="517"/>
      <c r="AA66" s="517"/>
    </row>
    <row r="67" spans="2:27">
      <c r="Q67" s="517"/>
      <c r="R67" s="517"/>
      <c r="S67" s="517"/>
      <c r="T67" s="517"/>
      <c r="U67" s="517"/>
      <c r="V67" s="517"/>
      <c r="W67" s="517"/>
      <c r="X67" s="517"/>
      <c r="Y67" s="517"/>
      <c r="Z67" s="517"/>
      <c r="AA67" s="517"/>
    </row>
  </sheetData>
  <conditionalFormatting sqref="D5:K6">
    <cfRule type="expression" dxfId="81"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64.36328125" style="212" customWidth="1"/>
    <col min="3" max="3" width="13.36328125" style="135" customWidth="1"/>
    <col min="4" max="11" width="11.08984375" customWidth="1"/>
    <col min="12" max="12" width="5" style="42" customWidth="1"/>
  </cols>
  <sheetData>
    <row r="1" spans="1:12" s="31" customFormat="1" ht="21">
      <c r="A1" s="920" t="s">
        <v>119</v>
      </c>
      <c r="B1" s="921"/>
      <c r="C1" s="274"/>
      <c r="D1" s="273"/>
      <c r="E1" s="273"/>
      <c r="F1" s="273"/>
      <c r="G1" s="273"/>
      <c r="H1" s="273"/>
      <c r="I1" s="273"/>
      <c r="J1" s="273"/>
      <c r="K1" s="273"/>
      <c r="L1" s="275"/>
    </row>
    <row r="2" spans="1:12" s="31" customFormat="1" ht="21">
      <c r="A2" s="909" t="str">
        <f>'RFPR cover'!C5</f>
        <v>WPD-SWEST</v>
      </c>
      <c r="B2" s="922"/>
      <c r="C2" s="133"/>
      <c r="D2" s="29"/>
      <c r="E2" s="29"/>
      <c r="F2" s="29"/>
      <c r="G2" s="29"/>
      <c r="H2" s="29"/>
      <c r="I2" s="27"/>
      <c r="J2" s="27"/>
      <c r="K2" s="27"/>
      <c r="L2" s="122"/>
    </row>
    <row r="3" spans="1:12" s="31" customFormat="1" ht="21">
      <c r="A3" s="912">
        <f>'RFPR cover'!C7</f>
        <v>2020</v>
      </c>
      <c r="B3" s="923"/>
      <c r="C3" s="276"/>
      <c r="D3" s="259"/>
      <c r="E3" s="259"/>
      <c r="F3" s="259"/>
      <c r="G3" s="259"/>
      <c r="H3" s="259"/>
      <c r="I3" s="254"/>
      <c r="J3" s="254"/>
      <c r="K3" s="254"/>
      <c r="L3" s="260"/>
    </row>
    <row r="4" spans="1:12" s="35" customFormat="1" ht="12.75" customHeight="1">
      <c r="B4" s="224"/>
      <c r="C4" s="137"/>
      <c r="L4" s="58"/>
    </row>
    <row r="5" spans="1:12" s="2" customFormat="1">
      <c r="B5" s="128"/>
      <c r="C5" s="135"/>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c r="L5" s="54"/>
    </row>
    <row r="6" spans="1:12" s="2" customFormat="1">
      <c r="B6" s="128"/>
      <c r="C6" s="135"/>
      <c r="D6" s="89">
        <f>'RFPR cover'!$C$13</f>
        <v>2016</v>
      </c>
      <c r="E6" s="90">
        <f>D6+1</f>
        <v>2017</v>
      </c>
      <c r="F6" s="90">
        <f t="shared" ref="F6:K6" si="0">E6+1</f>
        <v>2018</v>
      </c>
      <c r="G6" s="90">
        <f t="shared" si="0"/>
        <v>2019</v>
      </c>
      <c r="H6" s="90">
        <f t="shared" si="0"/>
        <v>2020</v>
      </c>
      <c r="I6" s="90">
        <f t="shared" si="0"/>
        <v>2021</v>
      </c>
      <c r="J6" s="90">
        <f t="shared" si="0"/>
        <v>2022</v>
      </c>
      <c r="K6" s="90">
        <f t="shared" si="0"/>
        <v>2023</v>
      </c>
      <c r="L6" s="54"/>
    </row>
    <row r="7" spans="1:12" s="2" customFormat="1">
      <c r="B7" s="764"/>
      <c r="C7" s="151"/>
      <c r="D7" s="50"/>
      <c r="E7" s="50"/>
      <c r="F7" s="50"/>
      <c r="G7" s="50"/>
      <c r="H7" s="50"/>
      <c r="I7" s="50"/>
      <c r="J7" s="50"/>
      <c r="K7" s="50"/>
      <c r="L7" s="58"/>
    </row>
    <row r="8" spans="1:12" s="2" customFormat="1">
      <c r="B8" s="765" t="s">
        <v>155</v>
      </c>
      <c r="C8" s="149"/>
      <c r="D8" s="81"/>
      <c r="E8" s="81"/>
      <c r="F8" s="81"/>
      <c r="G8" s="81"/>
      <c r="H8" s="81"/>
      <c r="I8" s="81"/>
      <c r="J8" s="81"/>
      <c r="K8" s="81"/>
      <c r="L8" s="271"/>
    </row>
    <row r="9" spans="1:12" s="35" customFormat="1">
      <c r="A9" s="2"/>
      <c r="B9" s="766"/>
      <c r="C9" s="137"/>
      <c r="L9" s="58"/>
    </row>
    <row r="10" spans="1:12" s="2" customFormat="1">
      <c r="B10" s="767" t="s">
        <v>387</v>
      </c>
      <c r="C10" s="150" t="str">
        <f>'RFPR cover'!$C$14</f>
        <v>£m 12/13</v>
      </c>
      <c r="D10" s="593">
        <v>286.89999999999998</v>
      </c>
      <c r="E10" s="594">
        <v>291.89999999999998</v>
      </c>
      <c r="F10" s="594">
        <v>296.5</v>
      </c>
      <c r="G10" s="594">
        <v>299.5</v>
      </c>
      <c r="H10" s="594">
        <v>302.5</v>
      </c>
      <c r="I10" s="594"/>
      <c r="J10" s="594"/>
      <c r="K10" s="594"/>
      <c r="L10" s="58"/>
    </row>
    <row r="11" spans="1:12" s="2" customFormat="1">
      <c r="B11" s="767" t="s">
        <v>388</v>
      </c>
      <c r="C11" s="150" t="str">
        <f>'RFPR cover'!$C$14</f>
        <v>£m 12/13</v>
      </c>
      <c r="D11" s="595">
        <v>0</v>
      </c>
      <c r="E11" s="596">
        <v>-1.7</v>
      </c>
      <c r="F11" s="596">
        <v>-4</v>
      </c>
      <c r="G11" s="596">
        <v>-7.8</v>
      </c>
      <c r="H11" s="596">
        <v>-6.8</v>
      </c>
      <c r="I11" s="596"/>
      <c r="J11" s="596"/>
      <c r="K11" s="596"/>
      <c r="L11" s="58"/>
    </row>
    <row r="12" spans="1:12" s="2" customFormat="1">
      <c r="B12" s="767" t="s">
        <v>147</v>
      </c>
      <c r="C12" s="150" t="str">
        <f>'RFPR cover'!$C$14</f>
        <v>£m 12/13</v>
      </c>
      <c r="D12" s="595">
        <v>0</v>
      </c>
      <c r="E12" s="596">
        <v>0</v>
      </c>
      <c r="F12" s="596">
        <v>-6.3265570245591984</v>
      </c>
      <c r="G12" s="596">
        <v>-1.1427829459226504</v>
      </c>
      <c r="H12" s="596">
        <v>0.71134570327322644</v>
      </c>
      <c r="I12" s="596"/>
      <c r="J12" s="596"/>
      <c r="K12" s="596"/>
      <c r="L12" s="58"/>
    </row>
    <row r="13" spans="1:12" s="2" customFormat="1">
      <c r="B13" s="767" t="s">
        <v>376</v>
      </c>
      <c r="C13" s="151" t="s">
        <v>127</v>
      </c>
      <c r="D13" s="817">
        <v>1.0820000000000001</v>
      </c>
      <c r="E13" s="818">
        <v>1.087</v>
      </c>
      <c r="F13" s="818">
        <v>1.121</v>
      </c>
      <c r="G13" s="818">
        <v>1.159</v>
      </c>
      <c r="H13" s="818">
        <v>1.198</v>
      </c>
      <c r="I13" s="818"/>
      <c r="J13" s="818"/>
      <c r="K13" s="818"/>
      <c r="L13" s="58"/>
    </row>
    <row r="14" spans="1:12" s="2" customFormat="1">
      <c r="B14" s="768" t="s">
        <v>196</v>
      </c>
      <c r="C14" s="265" t="s">
        <v>128</v>
      </c>
      <c r="D14" s="628">
        <f>SUM(D10:D12)*D13</f>
        <v>310.42579999999998</v>
      </c>
      <c r="E14" s="629">
        <f t="shared" ref="E14:K14" si="1">SUM(E10:E12)*E13</f>
        <v>315.44739999999996</v>
      </c>
      <c r="F14" s="629">
        <f t="shared" si="1"/>
        <v>320.80042957546914</v>
      </c>
      <c r="G14" s="629">
        <f t="shared" si="1"/>
        <v>336.75581456567562</v>
      </c>
      <c r="H14" s="629">
        <f t="shared" si="1"/>
        <v>355.10079215252131</v>
      </c>
      <c r="I14" s="629">
        <f t="shared" si="1"/>
        <v>0</v>
      </c>
      <c r="J14" s="629">
        <f t="shared" si="1"/>
        <v>0</v>
      </c>
      <c r="K14" s="630">
        <f t="shared" si="1"/>
        <v>0</v>
      </c>
      <c r="L14" s="58"/>
    </row>
    <row r="15" spans="1:12" s="2" customFormat="1">
      <c r="B15" s="212" t="s">
        <v>131</v>
      </c>
      <c r="C15" s="151" t="s">
        <v>128</v>
      </c>
      <c r="D15" s="597">
        <f>'R5 - Output Incentives'!D102</f>
        <v>7.2959808351149995</v>
      </c>
      <c r="E15" s="598">
        <f>'R5 - Output Incentives'!E102</f>
        <v>7.9779374569769903</v>
      </c>
      <c r="F15" s="599">
        <f>'R5 - Output Incentives'!F102</f>
        <v>11.056645964830542</v>
      </c>
      <c r="G15" s="599">
        <f>'R5 - Output Incentives'!G102</f>
        <v>9.3688219807151381</v>
      </c>
      <c r="H15" s="599">
        <f>'R5 - Output Incentives'!H102</f>
        <v>5.2016442323563572</v>
      </c>
      <c r="I15" s="599">
        <f>'R5 - Output Incentives'!I102</f>
        <v>10.164660715034593</v>
      </c>
      <c r="J15" s="599">
        <f>'R5 - Output Incentives'!J102</f>
        <v>13.381142204235928</v>
      </c>
      <c r="K15" s="600">
        <f>'R5 - Output Incentives'!K102</f>
        <v>9.0555018477062834</v>
      </c>
      <c r="L15" s="58"/>
    </row>
    <row r="16" spans="1:12" s="2" customFormat="1">
      <c r="B16" s="769" t="s">
        <v>389</v>
      </c>
      <c r="C16" s="151" t="s">
        <v>128</v>
      </c>
      <c r="D16" s="595">
        <v>0</v>
      </c>
      <c r="E16" s="596">
        <v>0</v>
      </c>
      <c r="F16" s="596">
        <v>-0.9743727796161239</v>
      </c>
      <c r="G16" s="596">
        <v>-1.5370216543795576</v>
      </c>
      <c r="H16" s="596">
        <v>-0.81092718241662898</v>
      </c>
      <c r="I16" s="596"/>
      <c r="J16" s="596"/>
      <c r="K16" s="596"/>
      <c r="L16" s="58"/>
    </row>
    <row r="17" spans="2:12" s="2" customFormat="1">
      <c r="B17" s="769" t="s">
        <v>134</v>
      </c>
      <c r="C17" s="151" t="s">
        <v>128</v>
      </c>
      <c r="D17" s="597">
        <f>'R6 - Innovation'!D12</f>
        <v>0.45862408100000007</v>
      </c>
      <c r="E17" s="598">
        <f>'R6 - Innovation'!E12</f>
        <v>1.1017892250000003</v>
      </c>
      <c r="F17" s="599">
        <f>'R6 - Innovation'!F12</f>
        <v>1.4480200000000001</v>
      </c>
      <c r="G17" s="599">
        <f>'R6 - Innovation'!G12</f>
        <v>0.90602999999999989</v>
      </c>
      <c r="H17" s="599">
        <f>'R6 - Innovation'!H12</f>
        <v>1.3501413000000002</v>
      </c>
      <c r="I17" s="599">
        <f>'R6 - Innovation'!I12</f>
        <v>1.4984724528160149</v>
      </c>
      <c r="J17" s="599">
        <f>'R6 - Innovation'!J12</f>
        <v>1.3817512849858125</v>
      </c>
      <c r="K17" s="600">
        <f>'R6 - Innovation'!K12</f>
        <v>1.206478696223223</v>
      </c>
      <c r="L17" s="58"/>
    </row>
    <row r="18" spans="2:12" s="2" customFormat="1">
      <c r="B18" s="769" t="s">
        <v>133</v>
      </c>
      <c r="C18" s="151" t="s">
        <v>128</v>
      </c>
      <c r="D18" s="597">
        <f>'R6 - Innovation'!D17</f>
        <v>1.0900995600000001</v>
      </c>
      <c r="E18" s="598">
        <f>'R6 - Innovation'!E17</f>
        <v>5.799675E-2</v>
      </c>
      <c r="F18" s="599">
        <f>'R6 - Innovation'!F17</f>
        <v>0.16837228000000001</v>
      </c>
      <c r="G18" s="599">
        <f>'R6 - Innovation'!G17</f>
        <v>0.45837662000000001</v>
      </c>
      <c r="H18" s="599">
        <f>'R6 - Innovation'!H17</f>
        <v>6.3094600000000001E-2</v>
      </c>
      <c r="I18" s="599">
        <f>'R6 - Innovation'!I17</f>
        <v>0</v>
      </c>
      <c r="J18" s="599">
        <f>'R6 - Innovation'!J17</f>
        <v>0</v>
      </c>
      <c r="K18" s="600">
        <f>'R6 - Innovation'!K17</f>
        <v>0</v>
      </c>
      <c r="L18" s="58"/>
    </row>
    <row r="19" spans="2:12" s="2" customFormat="1">
      <c r="B19" s="942" t="s">
        <v>585</v>
      </c>
      <c r="C19" s="151" t="s">
        <v>128</v>
      </c>
      <c r="D19" s="595">
        <v>-9.4046009259502412</v>
      </c>
      <c r="E19" s="596">
        <v>-1.9100856947630691</v>
      </c>
      <c r="F19" s="596">
        <v>0</v>
      </c>
      <c r="G19" s="596">
        <v>0</v>
      </c>
      <c r="H19" s="596">
        <v>0</v>
      </c>
      <c r="I19" s="596"/>
      <c r="J19" s="596"/>
      <c r="K19" s="596"/>
      <c r="L19" s="58"/>
    </row>
    <row r="20" spans="2:12" s="2" customFormat="1">
      <c r="B20" s="541" t="s">
        <v>243</v>
      </c>
      <c r="C20" s="151" t="s">
        <v>128</v>
      </c>
      <c r="D20" s="595">
        <v>0</v>
      </c>
      <c r="E20" s="596">
        <v>0</v>
      </c>
      <c r="F20" s="596">
        <v>0</v>
      </c>
      <c r="G20" s="596">
        <v>0</v>
      </c>
      <c r="H20" s="596">
        <v>0</v>
      </c>
      <c r="I20" s="596"/>
      <c r="J20" s="596"/>
      <c r="K20" s="596"/>
      <c r="L20" s="58"/>
    </row>
    <row r="21" spans="2:12" s="2" customFormat="1">
      <c r="B21" s="541" t="s">
        <v>243</v>
      </c>
      <c r="C21" s="151" t="s">
        <v>128</v>
      </c>
      <c r="D21" s="595">
        <v>0</v>
      </c>
      <c r="E21" s="596">
        <v>0</v>
      </c>
      <c r="F21" s="596">
        <v>0</v>
      </c>
      <c r="G21" s="596">
        <v>0</v>
      </c>
      <c r="H21" s="596">
        <v>0</v>
      </c>
      <c r="I21" s="596"/>
      <c r="J21" s="596"/>
      <c r="K21" s="596"/>
      <c r="L21" s="58"/>
    </row>
    <row r="22" spans="2:12" s="2" customFormat="1">
      <c r="B22" s="541" t="s">
        <v>243</v>
      </c>
      <c r="C22" s="151" t="s">
        <v>128</v>
      </c>
      <c r="D22" s="595">
        <v>0</v>
      </c>
      <c r="E22" s="596">
        <v>0</v>
      </c>
      <c r="F22" s="596">
        <v>0</v>
      </c>
      <c r="G22" s="596">
        <v>0</v>
      </c>
      <c r="H22" s="596">
        <v>0</v>
      </c>
      <c r="I22" s="596"/>
      <c r="J22" s="596"/>
      <c r="K22" s="596"/>
      <c r="L22" s="58"/>
    </row>
    <row r="23" spans="2:12" s="2" customFormat="1">
      <c r="B23" s="541" t="s">
        <v>243</v>
      </c>
      <c r="C23" s="151" t="s">
        <v>128</v>
      </c>
      <c r="D23" s="595">
        <v>0</v>
      </c>
      <c r="E23" s="596">
        <v>0</v>
      </c>
      <c r="F23" s="596">
        <v>0</v>
      </c>
      <c r="G23" s="596">
        <v>0</v>
      </c>
      <c r="H23" s="596">
        <v>0</v>
      </c>
      <c r="I23" s="596"/>
      <c r="J23" s="596"/>
      <c r="K23" s="596"/>
      <c r="L23" s="58"/>
    </row>
    <row r="24" spans="2:12" s="2" customFormat="1">
      <c r="B24" s="541" t="s">
        <v>243</v>
      </c>
      <c r="C24" s="151" t="s">
        <v>128</v>
      </c>
      <c r="D24" s="595">
        <v>0</v>
      </c>
      <c r="E24" s="596">
        <v>0</v>
      </c>
      <c r="F24" s="596">
        <v>0</v>
      </c>
      <c r="G24" s="596">
        <v>0</v>
      </c>
      <c r="H24" s="596">
        <v>0</v>
      </c>
      <c r="I24" s="596"/>
      <c r="J24" s="596"/>
      <c r="K24" s="596"/>
      <c r="L24" s="58"/>
    </row>
    <row r="25" spans="2:12" s="2" customFormat="1">
      <c r="B25" s="769" t="s">
        <v>135</v>
      </c>
      <c r="C25" s="151" t="s">
        <v>128</v>
      </c>
      <c r="D25" s="595">
        <v>0</v>
      </c>
      <c r="E25" s="596">
        <v>-21.218210269698869</v>
      </c>
      <c r="F25" s="596">
        <v>-2.9158233460713121</v>
      </c>
      <c r="G25" s="596">
        <v>12.619615032575819</v>
      </c>
      <c r="H25" s="596">
        <v>8.9009119448275928</v>
      </c>
      <c r="I25" s="596"/>
      <c r="J25" s="596"/>
      <c r="K25" s="596"/>
      <c r="L25" s="58"/>
    </row>
    <row r="26" spans="2:12" s="2" customFormat="1">
      <c r="B26" s="764" t="s">
        <v>148</v>
      </c>
      <c r="C26" s="151" t="s">
        <v>128</v>
      </c>
      <c r="D26" s="601">
        <f>SUM(D14:D24,-D25)</f>
        <v>309.86590355016472</v>
      </c>
      <c r="E26" s="602">
        <f t="shared" ref="E26:K26" si="2">SUM(E14:E24,-E25)</f>
        <v>343.8932480069127</v>
      </c>
      <c r="F26" s="602">
        <f t="shared" si="2"/>
        <v>335.41491838675483</v>
      </c>
      <c r="G26" s="602">
        <f t="shared" si="2"/>
        <v>333.33240647943541</v>
      </c>
      <c r="H26" s="602">
        <f t="shared" si="2"/>
        <v>352.00383315763344</v>
      </c>
      <c r="I26" s="602">
        <f t="shared" si="2"/>
        <v>11.663133167850608</v>
      </c>
      <c r="J26" s="602">
        <f t="shared" si="2"/>
        <v>14.76289348922174</v>
      </c>
      <c r="K26" s="603">
        <f t="shared" si="2"/>
        <v>10.261980543929507</v>
      </c>
      <c r="L26" s="58"/>
    </row>
    <row r="27" spans="2:12" s="2" customFormat="1">
      <c r="B27" s="224"/>
      <c r="C27" s="137"/>
      <c r="D27" s="55"/>
      <c r="E27" s="55"/>
      <c r="F27" s="55"/>
      <c r="G27" s="61"/>
      <c r="H27" s="61"/>
      <c r="I27" s="61"/>
      <c r="J27" s="61"/>
      <c r="K27" s="61"/>
      <c r="L27" s="58"/>
    </row>
    <row r="28" spans="2:12" s="2" customFormat="1">
      <c r="B28" s="224" t="s">
        <v>150</v>
      </c>
      <c r="C28" s="137"/>
      <c r="D28" s="601">
        <f>IF(ISBLANK(D33),0,D33-D26)</f>
        <v>-2.8071223401647671</v>
      </c>
      <c r="E28" s="602">
        <f t="shared" ref="E28:K28" si="3">IF(ISBLANK(E33),0,E33-E26)</f>
        <v>12.166725073087321</v>
      </c>
      <c r="F28" s="602">
        <f t="shared" si="3"/>
        <v>8.553747913245104</v>
      </c>
      <c r="G28" s="602">
        <f t="shared" si="3"/>
        <v>12.524881230564574</v>
      </c>
      <c r="H28" s="602">
        <f t="shared" si="3"/>
        <v>-3.5586720276334063</v>
      </c>
      <c r="I28" s="602">
        <f t="shared" si="3"/>
        <v>0</v>
      </c>
      <c r="J28" s="602">
        <f t="shared" si="3"/>
        <v>0</v>
      </c>
      <c r="K28" s="603">
        <f t="shared" si="3"/>
        <v>0</v>
      </c>
      <c r="L28" s="58"/>
    </row>
    <row r="29" spans="2:12" s="2" customFormat="1">
      <c r="B29" s="224"/>
      <c r="C29" s="137"/>
      <c r="D29" s="35"/>
      <c r="E29" s="35"/>
      <c r="F29" s="35"/>
      <c r="G29" s="35"/>
      <c r="H29" s="35"/>
      <c r="I29" s="35"/>
      <c r="J29" s="35"/>
      <c r="K29" s="35"/>
      <c r="L29" s="58"/>
    </row>
    <row r="30" spans="2:12" s="2" customFormat="1">
      <c r="B30" s="224"/>
      <c r="C30" s="137"/>
      <c r="D30" s="35"/>
      <c r="E30" s="35"/>
      <c r="F30" s="35"/>
      <c r="G30" s="35"/>
      <c r="H30" s="35"/>
      <c r="I30" s="35"/>
      <c r="J30" s="35"/>
      <c r="K30" s="35"/>
      <c r="L30" s="58"/>
    </row>
    <row r="31" spans="2:12" s="2" customFormat="1">
      <c r="B31" s="765" t="s">
        <v>193</v>
      </c>
      <c r="C31" s="149"/>
      <c r="D31" s="81"/>
      <c r="E31" s="81"/>
      <c r="F31" s="81"/>
      <c r="G31" s="81"/>
      <c r="H31" s="81"/>
      <c r="I31" s="81"/>
      <c r="J31" s="81"/>
      <c r="K31" s="81"/>
      <c r="L31" s="272"/>
    </row>
    <row r="32" spans="2:12" s="2" customFormat="1">
      <c r="B32" s="224"/>
      <c r="C32" s="137"/>
      <c r="D32" s="35"/>
      <c r="E32" s="35"/>
      <c r="F32" s="35"/>
      <c r="G32" s="35"/>
      <c r="H32" s="35"/>
      <c r="I32" s="35"/>
      <c r="J32" s="35"/>
      <c r="K32" s="35"/>
      <c r="L32" s="58"/>
    </row>
    <row r="33" spans="2:12" s="2" customFormat="1">
      <c r="B33" s="766" t="s">
        <v>149</v>
      </c>
      <c r="C33" s="137"/>
      <c r="D33" s="637">
        <v>307.05878120999995</v>
      </c>
      <c r="E33" s="638">
        <v>356.05997308000002</v>
      </c>
      <c r="F33" s="638">
        <v>343.96866629999994</v>
      </c>
      <c r="G33" s="638">
        <v>345.85728770999998</v>
      </c>
      <c r="H33" s="638">
        <v>348.44516113000003</v>
      </c>
      <c r="I33" s="638"/>
      <c r="J33" s="638"/>
      <c r="K33" s="639"/>
      <c r="L33" s="58"/>
    </row>
    <row r="34" spans="2:12" s="2" customFormat="1">
      <c r="B34" s="128"/>
      <c r="C34" s="135"/>
      <c r="L34" s="58"/>
    </row>
    <row r="35" spans="2:12" s="2" customFormat="1">
      <c r="B35" s="392" t="s">
        <v>136</v>
      </c>
      <c r="C35" s="135"/>
      <c r="L35" s="58"/>
    </row>
    <row r="36" spans="2:12" s="2" customFormat="1">
      <c r="B36" s="894" t="s">
        <v>137</v>
      </c>
      <c r="C36" s="151" t="s">
        <v>128</v>
      </c>
      <c r="D36" s="593">
        <v>0</v>
      </c>
      <c r="E36" s="594">
        <v>0</v>
      </c>
      <c r="F36" s="594">
        <v>0</v>
      </c>
      <c r="G36" s="594">
        <v>0</v>
      </c>
      <c r="H36" s="594">
        <v>0</v>
      </c>
      <c r="I36" s="594"/>
      <c r="J36" s="594"/>
      <c r="K36" s="604"/>
      <c r="L36" s="58"/>
    </row>
    <row r="37" spans="2:12" s="2" customFormat="1">
      <c r="B37" s="894" t="s">
        <v>138</v>
      </c>
      <c r="C37" s="151" t="s">
        <v>128</v>
      </c>
      <c r="D37" s="595">
        <v>2.7888999999999999</v>
      </c>
      <c r="E37" s="596">
        <v>2.5195000000000003</v>
      </c>
      <c r="F37" s="596">
        <v>2.0343</v>
      </c>
      <c r="G37" s="596">
        <v>2.1497999999999999</v>
      </c>
      <c r="H37" s="596">
        <v>2.4695160279999997</v>
      </c>
      <c r="I37" s="596"/>
      <c r="J37" s="596"/>
      <c r="K37" s="605"/>
      <c r="L37" s="58"/>
    </row>
    <row r="38" spans="2:12" s="2" customFormat="1">
      <c r="B38" s="894" t="s">
        <v>139</v>
      </c>
      <c r="C38" s="151" t="s">
        <v>128</v>
      </c>
      <c r="D38" s="595">
        <v>10.5586</v>
      </c>
      <c r="E38" s="596">
        <v>38.68560124495</v>
      </c>
      <c r="F38" s="596">
        <v>41.936399999999999</v>
      </c>
      <c r="G38" s="596">
        <v>48.3078</v>
      </c>
      <c r="H38" s="596">
        <v>53.635448077999996</v>
      </c>
      <c r="I38" s="596"/>
      <c r="J38" s="596"/>
      <c r="K38" s="605"/>
      <c r="L38" s="58"/>
    </row>
    <row r="39" spans="2:12" s="2" customFormat="1">
      <c r="B39" s="894" t="s">
        <v>140</v>
      </c>
      <c r="C39" s="151" t="s">
        <v>128</v>
      </c>
      <c r="D39" s="595">
        <v>0</v>
      </c>
      <c r="E39" s="596">
        <v>0</v>
      </c>
      <c r="F39" s="596">
        <v>0</v>
      </c>
      <c r="G39" s="596">
        <v>0</v>
      </c>
      <c r="H39" s="596">
        <v>0</v>
      </c>
      <c r="I39" s="596"/>
      <c r="J39" s="596"/>
      <c r="K39" s="605"/>
      <c r="L39" s="58"/>
    </row>
    <row r="40" spans="2:12" s="2" customFormat="1">
      <c r="B40" s="894" t="s">
        <v>141</v>
      </c>
      <c r="C40" s="151" t="s">
        <v>128</v>
      </c>
      <c r="D40" s="595">
        <v>0</v>
      </c>
      <c r="E40" s="596">
        <v>0</v>
      </c>
      <c r="F40" s="596">
        <v>0</v>
      </c>
      <c r="G40" s="596">
        <v>0</v>
      </c>
      <c r="H40" s="596">
        <v>0</v>
      </c>
      <c r="I40" s="596"/>
      <c r="J40" s="596"/>
      <c r="K40" s="605"/>
      <c r="L40" s="58"/>
    </row>
    <row r="41" spans="2:12" s="2" customFormat="1">
      <c r="B41" s="894" t="s">
        <v>142</v>
      </c>
      <c r="C41" s="151" t="s">
        <v>128</v>
      </c>
      <c r="D41" s="595">
        <v>4.0037000000000003</v>
      </c>
      <c r="E41" s="596">
        <v>3.9135</v>
      </c>
      <c r="F41" s="596">
        <v>3.5831</v>
      </c>
      <c r="G41" s="596">
        <v>2.8521999999999998</v>
      </c>
      <c r="H41" s="596">
        <v>2.2910224299999995</v>
      </c>
      <c r="I41" s="596"/>
      <c r="J41" s="596"/>
      <c r="K41" s="605"/>
      <c r="L41" s="58"/>
    </row>
    <row r="42" spans="2:12" s="2" customFormat="1">
      <c r="B42" s="894" t="s">
        <v>143</v>
      </c>
      <c r="C42" s="151" t="s">
        <v>128</v>
      </c>
      <c r="D42" s="595">
        <v>0</v>
      </c>
      <c r="E42" s="596">
        <v>0</v>
      </c>
      <c r="F42" s="596">
        <v>0</v>
      </c>
      <c r="G42" s="596">
        <v>0</v>
      </c>
      <c r="H42" s="596">
        <v>0</v>
      </c>
      <c r="I42" s="596"/>
      <c r="J42" s="596"/>
      <c r="K42" s="605"/>
      <c r="L42" s="58"/>
    </row>
    <row r="43" spans="2:12" s="2" customFormat="1">
      <c r="B43" s="895" t="s">
        <v>144</v>
      </c>
      <c r="C43" s="151" t="s">
        <v>128</v>
      </c>
      <c r="D43" s="606">
        <v>0</v>
      </c>
      <c r="E43" s="607">
        <v>0</v>
      </c>
      <c r="F43" s="607">
        <v>0</v>
      </c>
      <c r="G43" s="607">
        <v>0</v>
      </c>
      <c r="H43" s="607">
        <v>0</v>
      </c>
      <c r="I43" s="607"/>
      <c r="J43" s="607"/>
      <c r="K43" s="608"/>
      <c r="L43" s="58"/>
    </row>
    <row r="44" spans="2:12" s="2" customFormat="1">
      <c r="B44" s="893" t="s">
        <v>529</v>
      </c>
      <c r="C44" s="151" t="s">
        <v>128</v>
      </c>
      <c r="D44" s="606">
        <v>0</v>
      </c>
      <c r="E44" s="607">
        <v>0</v>
      </c>
      <c r="F44" s="607">
        <v>0</v>
      </c>
      <c r="G44" s="607">
        <v>0</v>
      </c>
      <c r="H44" s="607">
        <v>0</v>
      </c>
      <c r="I44" s="607"/>
      <c r="J44" s="607"/>
      <c r="K44" s="608"/>
      <c r="L44" s="58"/>
    </row>
    <row r="45" spans="2:12" s="2" customFormat="1">
      <c r="B45" s="392" t="s">
        <v>176</v>
      </c>
      <c r="C45" s="151" t="s">
        <v>128</v>
      </c>
      <c r="D45" s="609">
        <f>SUM(D36:D44)</f>
        <v>17.351199999999999</v>
      </c>
      <c r="E45" s="610">
        <f t="shared" ref="E45:K45" si="4">SUM(E36:E44)</f>
        <v>45.11860124495</v>
      </c>
      <c r="F45" s="610">
        <f t="shared" si="4"/>
        <v>47.553800000000003</v>
      </c>
      <c r="G45" s="610">
        <f t="shared" si="4"/>
        <v>53.309799999999996</v>
      </c>
      <c r="H45" s="610">
        <f t="shared" si="4"/>
        <v>58.395986535999995</v>
      </c>
      <c r="I45" s="610">
        <f t="shared" si="4"/>
        <v>0</v>
      </c>
      <c r="J45" s="610">
        <f t="shared" si="4"/>
        <v>0</v>
      </c>
      <c r="K45" s="611">
        <f t="shared" si="4"/>
        <v>0</v>
      </c>
      <c r="L45" s="58"/>
    </row>
    <row r="46" spans="2:12" s="2" customFormat="1">
      <c r="B46" s="128"/>
      <c r="C46" s="135"/>
      <c r="L46" s="58"/>
    </row>
    <row r="47" spans="2:12" s="2" customFormat="1">
      <c r="B47" s="392" t="s">
        <v>145</v>
      </c>
      <c r="C47" s="135"/>
      <c r="L47" s="54"/>
    </row>
    <row r="48" spans="2:12" s="2" customFormat="1">
      <c r="B48" s="942" t="s">
        <v>579</v>
      </c>
      <c r="C48" s="151" t="s">
        <v>128</v>
      </c>
      <c r="D48" s="612">
        <v>1.9776003520000001</v>
      </c>
      <c r="E48" s="613">
        <v>2.6860033630000002</v>
      </c>
      <c r="F48" s="613">
        <v>2.7193234500000001</v>
      </c>
      <c r="G48" s="613">
        <v>5.7949796899999999</v>
      </c>
      <c r="H48" s="613">
        <v>3.2436951199899995</v>
      </c>
      <c r="I48" s="613"/>
      <c r="J48" s="613"/>
      <c r="K48" s="614"/>
      <c r="L48" s="58"/>
    </row>
    <row r="49" spans="2:12" s="2" customFormat="1">
      <c r="B49" s="942" t="s">
        <v>580</v>
      </c>
      <c r="C49" s="151" t="s">
        <v>128</v>
      </c>
      <c r="D49" s="615">
        <v>-0.76088299999999998</v>
      </c>
      <c r="E49" s="616">
        <v>-0.63873232000999991</v>
      </c>
      <c r="F49" s="616">
        <v>-0.49299996000000001</v>
      </c>
      <c r="G49" s="616">
        <v>-0.52687464000000006</v>
      </c>
      <c r="H49" s="616">
        <v>-0.55494197999999995</v>
      </c>
      <c r="I49" s="616"/>
      <c r="J49" s="616"/>
      <c r="K49" s="617"/>
      <c r="L49" s="58"/>
    </row>
    <row r="50" spans="2:12" s="2" customFormat="1">
      <c r="B50" s="942" t="s">
        <v>581</v>
      </c>
      <c r="C50" s="151" t="s">
        <v>128</v>
      </c>
      <c r="D50" s="615">
        <v>-1.3659473899999997</v>
      </c>
      <c r="E50" s="616">
        <v>-1.1649678700000001</v>
      </c>
      <c r="F50" s="616">
        <v>-1.3093721100000002</v>
      </c>
      <c r="G50" s="616">
        <v>-0.92787659999999983</v>
      </c>
      <c r="H50" s="616">
        <v>-1.4350947700000001</v>
      </c>
      <c r="I50" s="616"/>
      <c r="J50" s="616"/>
      <c r="K50" s="617"/>
      <c r="L50" s="58"/>
    </row>
    <row r="51" spans="2:12" s="2" customFormat="1">
      <c r="B51" s="942" t="s">
        <v>582</v>
      </c>
      <c r="C51" s="151" t="s">
        <v>128</v>
      </c>
      <c r="D51" s="615">
        <v>34.615600000000001</v>
      </c>
      <c r="E51" s="616">
        <v>0</v>
      </c>
      <c r="F51" s="616">
        <v>0</v>
      </c>
      <c r="G51" s="616">
        <v>0</v>
      </c>
      <c r="H51" s="616">
        <v>0</v>
      </c>
      <c r="I51" s="616"/>
      <c r="J51" s="616"/>
      <c r="K51" s="617"/>
      <c r="L51" s="58"/>
    </row>
    <row r="52" spans="2:12" s="2" customFormat="1">
      <c r="B52" s="942" t="s">
        <v>583</v>
      </c>
      <c r="C52" s="151" t="s">
        <v>128</v>
      </c>
      <c r="D52" s="615">
        <v>-36.565800000000003</v>
      </c>
      <c r="E52" s="616">
        <v>-29.979101244949998</v>
      </c>
      <c r="F52" s="616">
        <v>-28.109400000000001</v>
      </c>
      <c r="G52" s="616">
        <v>-31.3200934027278</v>
      </c>
      <c r="H52" s="616">
        <v>-26.571100000000001</v>
      </c>
      <c r="I52" s="616"/>
      <c r="J52" s="616"/>
      <c r="K52" s="617"/>
      <c r="L52" s="58"/>
    </row>
    <row r="53" spans="2:12" s="2" customFormat="1">
      <c r="B53" s="942" t="s">
        <v>584</v>
      </c>
      <c r="C53" s="151" t="s">
        <v>128</v>
      </c>
      <c r="D53" s="615">
        <v>1.9501999999999999</v>
      </c>
      <c r="E53" s="616">
        <v>0</v>
      </c>
      <c r="F53" s="616">
        <v>0</v>
      </c>
      <c r="G53" s="616">
        <v>0</v>
      </c>
      <c r="H53" s="616">
        <v>0</v>
      </c>
      <c r="I53" s="616"/>
      <c r="J53" s="616"/>
      <c r="K53" s="617"/>
      <c r="L53" s="58"/>
    </row>
    <row r="54" spans="2:12" s="2" customFormat="1">
      <c r="B54" s="541" t="s">
        <v>154</v>
      </c>
      <c r="C54" s="151" t="s">
        <v>128</v>
      </c>
      <c r="D54" s="615">
        <v>0</v>
      </c>
      <c r="E54" s="616">
        <v>0.12</v>
      </c>
      <c r="F54" s="616">
        <v>0.1</v>
      </c>
      <c r="G54" s="616">
        <v>0</v>
      </c>
      <c r="H54" s="616">
        <v>0.2</v>
      </c>
      <c r="I54" s="616"/>
      <c r="J54" s="616"/>
      <c r="K54" s="617"/>
      <c r="L54" s="58"/>
    </row>
    <row r="55" spans="2:12" s="2" customFormat="1">
      <c r="B55" s="541" t="s">
        <v>243</v>
      </c>
      <c r="C55" s="151" t="s">
        <v>128</v>
      </c>
      <c r="D55" s="615"/>
      <c r="E55" s="616"/>
      <c r="F55" s="616"/>
      <c r="G55" s="616"/>
      <c r="H55" s="616"/>
      <c r="I55" s="616"/>
      <c r="J55" s="616"/>
      <c r="K55" s="617"/>
      <c r="L55" s="58"/>
    </row>
    <row r="56" spans="2:12" s="2" customFormat="1">
      <c r="B56" s="541" t="s">
        <v>243</v>
      </c>
      <c r="C56" s="151" t="s">
        <v>128</v>
      </c>
      <c r="D56" s="615"/>
      <c r="E56" s="616"/>
      <c r="F56" s="616"/>
      <c r="G56" s="616"/>
      <c r="H56" s="616"/>
      <c r="I56" s="616"/>
      <c r="J56" s="616"/>
      <c r="K56" s="617"/>
      <c r="L56" s="58"/>
    </row>
    <row r="57" spans="2:12" s="2" customFormat="1">
      <c r="B57" s="541" t="s">
        <v>243</v>
      </c>
      <c r="C57" s="151" t="s">
        <v>128</v>
      </c>
      <c r="D57" s="615"/>
      <c r="E57" s="616"/>
      <c r="F57" s="616"/>
      <c r="G57" s="616"/>
      <c r="H57" s="616"/>
      <c r="I57" s="616"/>
      <c r="J57" s="616"/>
      <c r="K57" s="617"/>
      <c r="L57" s="58"/>
    </row>
    <row r="58" spans="2:12" s="2" customFormat="1">
      <c r="B58" s="541" t="s">
        <v>243</v>
      </c>
      <c r="C58" s="151" t="s">
        <v>128</v>
      </c>
      <c r="D58" s="615"/>
      <c r="E58" s="616"/>
      <c r="F58" s="616"/>
      <c r="G58" s="616"/>
      <c r="H58" s="616"/>
      <c r="I58" s="616"/>
      <c r="J58" s="616"/>
      <c r="K58" s="617"/>
      <c r="L58" s="58"/>
    </row>
    <row r="59" spans="2:12" s="2" customFormat="1">
      <c r="B59" s="541" t="s">
        <v>243</v>
      </c>
      <c r="C59" s="151" t="s">
        <v>128</v>
      </c>
      <c r="D59" s="615"/>
      <c r="E59" s="616"/>
      <c r="F59" s="616"/>
      <c r="G59" s="616"/>
      <c r="H59" s="616"/>
      <c r="I59" s="616"/>
      <c r="J59" s="616"/>
      <c r="K59" s="617"/>
      <c r="L59" s="58"/>
    </row>
    <row r="60" spans="2:12" s="2" customFormat="1">
      <c r="B60" s="541" t="s">
        <v>243</v>
      </c>
      <c r="C60" s="151" t="s">
        <v>128</v>
      </c>
      <c r="D60" s="615"/>
      <c r="E60" s="616"/>
      <c r="F60" s="616"/>
      <c r="G60" s="616"/>
      <c r="H60" s="616"/>
      <c r="I60" s="616"/>
      <c r="J60" s="616"/>
      <c r="K60" s="617"/>
      <c r="L60" s="58"/>
    </row>
    <row r="61" spans="2:12" s="2" customFormat="1">
      <c r="B61" s="541" t="s">
        <v>243</v>
      </c>
      <c r="C61" s="151" t="s">
        <v>128</v>
      </c>
      <c r="D61" s="615"/>
      <c r="E61" s="616"/>
      <c r="F61" s="616"/>
      <c r="G61" s="616"/>
      <c r="H61" s="616"/>
      <c r="I61" s="616"/>
      <c r="J61" s="616"/>
      <c r="K61" s="617"/>
      <c r="L61" s="58"/>
    </row>
    <row r="62" spans="2:12" s="2" customFormat="1">
      <c r="B62" s="541" t="s">
        <v>243</v>
      </c>
      <c r="C62" s="151" t="s">
        <v>128</v>
      </c>
      <c r="D62" s="615"/>
      <c r="E62" s="616"/>
      <c r="F62" s="616"/>
      <c r="G62" s="616"/>
      <c r="H62" s="616"/>
      <c r="I62" s="616"/>
      <c r="J62" s="616"/>
      <c r="K62" s="617"/>
      <c r="L62" s="58"/>
    </row>
    <row r="63" spans="2:12" s="2" customFormat="1">
      <c r="B63" s="948" t="s">
        <v>243</v>
      </c>
      <c r="C63" s="151" t="s">
        <v>128</v>
      </c>
      <c r="D63" s="618"/>
      <c r="E63" s="619"/>
      <c r="F63" s="620"/>
      <c r="G63" s="619"/>
      <c r="H63" s="619"/>
      <c r="I63" s="619"/>
      <c r="J63" s="619"/>
      <c r="K63" s="621"/>
      <c r="L63" s="58"/>
    </row>
    <row r="64" spans="2:12" s="2" customFormat="1">
      <c r="B64" s="766" t="s">
        <v>177</v>
      </c>
      <c r="C64" s="151" t="s">
        <v>128</v>
      </c>
      <c r="D64" s="601">
        <f t="shared" ref="D64:K64" si="5">SUM(D48:D63)</f>
        <v>-0.14923003800000134</v>
      </c>
      <c r="E64" s="602">
        <f t="shared" si="5"/>
        <v>-28.976798071959998</v>
      </c>
      <c r="F64" s="602">
        <f t="shared" si="5"/>
        <v>-27.092448619999999</v>
      </c>
      <c r="G64" s="602">
        <f t="shared" si="5"/>
        <v>-26.979864952727802</v>
      </c>
      <c r="H64" s="602">
        <f t="shared" si="5"/>
        <v>-25.117441630010003</v>
      </c>
      <c r="I64" s="602">
        <f t="shared" si="5"/>
        <v>0</v>
      </c>
      <c r="J64" s="602">
        <f t="shared" si="5"/>
        <v>0</v>
      </c>
      <c r="K64" s="603">
        <f t="shared" si="5"/>
        <v>0</v>
      </c>
      <c r="L64" s="58"/>
    </row>
    <row r="65" spans="1:12" s="2" customFormat="1">
      <c r="B65" s="224"/>
      <c r="C65" s="137"/>
      <c r="D65" s="56"/>
      <c r="E65" s="56"/>
      <c r="F65" s="56"/>
      <c r="G65" s="56"/>
      <c r="H65" s="56"/>
      <c r="I65" s="56"/>
      <c r="J65" s="56"/>
      <c r="K65" s="56"/>
      <c r="L65" s="58"/>
    </row>
    <row r="66" spans="1:12" s="2" customFormat="1">
      <c r="B66" s="766" t="s">
        <v>146</v>
      </c>
      <c r="C66" s="151" t="s">
        <v>128</v>
      </c>
      <c r="D66" s="622">
        <f t="shared" ref="D66:K66" si="6">D33+D45+D64</f>
        <v>324.26075117199997</v>
      </c>
      <c r="E66" s="623">
        <f t="shared" si="6"/>
        <v>372.20177625299004</v>
      </c>
      <c r="F66" s="623">
        <f t="shared" si="6"/>
        <v>364.43001767999999</v>
      </c>
      <c r="G66" s="623">
        <f t="shared" si="6"/>
        <v>372.1872227572722</v>
      </c>
      <c r="H66" s="623">
        <f t="shared" si="6"/>
        <v>381.72370603599006</v>
      </c>
      <c r="I66" s="623">
        <f t="shared" si="6"/>
        <v>0</v>
      </c>
      <c r="J66" s="623">
        <f t="shared" si="6"/>
        <v>0</v>
      </c>
      <c r="K66" s="624">
        <f t="shared" si="6"/>
        <v>0</v>
      </c>
      <c r="L66" s="58"/>
    </row>
    <row r="67" spans="1:12" s="2" customFormat="1">
      <c r="B67" s="766" t="s">
        <v>194</v>
      </c>
      <c r="C67" s="151" t="s">
        <v>128</v>
      </c>
      <c r="D67" s="625">
        <v>324.3</v>
      </c>
      <c r="E67" s="626">
        <v>372.2</v>
      </c>
      <c r="F67" s="626">
        <v>364.4</v>
      </c>
      <c r="G67" s="626">
        <v>372.2</v>
      </c>
      <c r="H67" s="626">
        <v>381.7</v>
      </c>
      <c r="I67" s="626"/>
      <c r="J67" s="626"/>
      <c r="K67" s="627"/>
      <c r="L67" s="58"/>
    </row>
    <row r="68" spans="1:12" s="2" customFormat="1">
      <c r="B68" s="224" t="s">
        <v>122</v>
      </c>
      <c r="C68" s="137"/>
      <c r="D68" s="114" t="str">
        <f>IF(ABS(D66-D67)&lt;'RFPR cover'!$F$14,"OK","Error")</f>
        <v>OK</v>
      </c>
      <c r="E68" s="114" t="str">
        <f>IF(ABS(E66-E67)&lt;'RFPR cover'!$F$14,"OK","Error")</f>
        <v>OK</v>
      </c>
      <c r="F68" s="114" t="str">
        <f>IF(ABS(F66-F67)&lt;'RFPR cover'!$F$14,"OK","Error")</f>
        <v>OK</v>
      </c>
      <c r="G68" s="114" t="str">
        <f>IF(ABS(G66-G67)&lt;'RFPR cover'!$F$14,"OK","Error")</f>
        <v>OK</v>
      </c>
      <c r="H68" s="114" t="str">
        <f>IF(ABS(H66-H67)&lt;'RFPR cover'!$F$14,"OK","Error")</f>
        <v>OK</v>
      </c>
      <c r="I68" s="114" t="str">
        <f>IF(ABS(I66-I67)&lt;'RFPR cover'!$F$14,"OK","Error")</f>
        <v>OK</v>
      </c>
      <c r="J68" s="114" t="str">
        <f>IF(ABS(J66-J67)&lt;'RFPR cover'!$F$14,"OK","Error")</f>
        <v>OK</v>
      </c>
      <c r="K68" s="114" t="str">
        <f>IF(ABS(K66-K67)&lt;'RFPR cover'!$F$14,"OK","Error")</f>
        <v>OK</v>
      </c>
      <c r="L68" s="58"/>
    </row>
    <row r="69" spans="1:12" s="2" customFormat="1">
      <c r="B69" s="128"/>
      <c r="C69" s="137"/>
      <c r="D69" s="48"/>
      <c r="E69" s="48"/>
      <c r="F69" s="48"/>
      <c r="G69" s="48"/>
      <c r="H69" s="48"/>
      <c r="I69" s="48"/>
      <c r="J69" s="48"/>
      <c r="K69" s="48"/>
      <c r="L69" s="58"/>
    </row>
    <row r="70" spans="1:12" s="2" customFormat="1">
      <c r="B70" s="128"/>
      <c r="C70" s="135"/>
      <c r="L70" s="54"/>
    </row>
    <row r="71" spans="1:12" s="2" customFormat="1">
      <c r="A71" s="81"/>
      <c r="B71" s="771"/>
      <c r="C71" s="149"/>
      <c r="D71" s="81"/>
      <c r="E71" s="81"/>
      <c r="F71" s="81"/>
      <c r="G71" s="81"/>
      <c r="H71" s="81"/>
      <c r="I71" s="81"/>
      <c r="J71" s="81"/>
      <c r="K71" s="81"/>
      <c r="L71" s="271"/>
    </row>
  </sheetData>
  <conditionalFormatting sqref="D6:K6">
    <cfRule type="expression" dxfId="80" priority="22">
      <formula>AND(D$5="Actuals",E$5="Forecast")</formula>
    </cfRule>
  </conditionalFormatting>
  <conditionalFormatting sqref="D5:K5">
    <cfRule type="expression" dxfId="79" priority="15">
      <formula>AND(D$5="Actuals",E$5="Forecast")</formula>
    </cfRule>
  </conditionalFormatting>
  <conditionalFormatting sqref="I33:K33 D45:K45 D64:K64 D28:H28 D66:K66 I36:K44 H48:K63 D68:K68 I67:K67">
    <cfRule type="expression" dxfId="78" priority="14">
      <formula>D$5="Forecast"</formula>
    </cfRule>
  </conditionalFormatting>
  <conditionalFormatting sqref="I10:K26 I28:K28">
    <cfRule type="expression" dxfId="77" priority="13">
      <formula>I$5="Forecast"</formula>
    </cfRule>
  </conditionalFormatting>
  <conditionalFormatting sqref="H14:H15 H17:H18 H26">
    <cfRule type="expression" dxfId="76" priority="12">
      <formula>H$5="Forecast"</formula>
    </cfRule>
  </conditionalFormatting>
  <conditionalFormatting sqref="G14:G15 G17:G18 G26">
    <cfRule type="expression" dxfId="75" priority="11">
      <formula>G$5="Forecast"</formula>
    </cfRule>
  </conditionalFormatting>
  <conditionalFormatting sqref="H10:H13">
    <cfRule type="expression" dxfId="74" priority="10">
      <formula>H$5="Forecast"</formula>
    </cfRule>
  </conditionalFormatting>
  <conditionalFormatting sqref="G10:G13">
    <cfRule type="expression" dxfId="73" priority="9">
      <formula>G$5="Forecast"</formula>
    </cfRule>
  </conditionalFormatting>
  <conditionalFormatting sqref="H16">
    <cfRule type="expression" dxfId="72" priority="8">
      <formula>H$5="Forecast"</formula>
    </cfRule>
  </conditionalFormatting>
  <conditionalFormatting sqref="G16">
    <cfRule type="expression" dxfId="71" priority="7">
      <formula>G$5="Forecast"</formula>
    </cfRule>
  </conditionalFormatting>
  <conditionalFormatting sqref="H19:H25">
    <cfRule type="expression" dxfId="70" priority="6">
      <formula>H$5="Forecast"</formula>
    </cfRule>
  </conditionalFormatting>
  <conditionalFormatting sqref="G19:G25">
    <cfRule type="expression" dxfId="69" priority="5">
      <formula>G$5="Forecast"</formula>
    </cfRule>
  </conditionalFormatting>
  <conditionalFormatting sqref="D33:H33">
    <cfRule type="expression" dxfId="68" priority="4">
      <formula>D$5="Forecast"</formula>
    </cfRule>
  </conditionalFormatting>
  <conditionalFormatting sqref="D36:H44">
    <cfRule type="expression" dxfId="67" priority="3">
      <formula>D$5="Forecast"</formula>
    </cfRule>
  </conditionalFormatting>
  <conditionalFormatting sqref="D48:G63">
    <cfRule type="expression" dxfId="66" priority="2">
      <formula>D$5="Forecast"</formula>
    </cfRule>
  </conditionalFormatting>
  <conditionalFormatting sqref="D67:H67">
    <cfRule type="expression" dxfId="65" priority="1">
      <formula>D$5="Forecast"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74.453125" customWidth="1"/>
    <col min="3" max="3" width="13.36328125" style="135" customWidth="1"/>
    <col min="4" max="11" width="11.08984375" customWidth="1"/>
    <col min="12" max="12" width="5" customWidth="1"/>
  </cols>
  <sheetData>
    <row r="1" spans="1:12" s="31" customFormat="1" ht="21">
      <c r="A1" s="924" t="s">
        <v>310</v>
      </c>
      <c r="B1" s="925"/>
      <c r="C1" s="147"/>
      <c r="D1" s="120"/>
      <c r="E1" s="120"/>
      <c r="F1" s="120"/>
      <c r="G1" s="120"/>
      <c r="H1" s="120"/>
      <c r="I1" s="120"/>
      <c r="J1" s="120"/>
      <c r="K1" s="120"/>
      <c r="L1" s="121"/>
    </row>
    <row r="2" spans="1:12" s="31" customFormat="1" ht="21">
      <c r="A2" s="909" t="str">
        <f>'RFPR cover'!C5</f>
        <v>WPD-SWEST</v>
      </c>
      <c r="B2" s="901"/>
      <c r="C2" s="133"/>
      <c r="D2" s="29"/>
      <c r="E2" s="29"/>
      <c r="F2" s="29"/>
      <c r="G2" s="29"/>
      <c r="H2" s="29"/>
      <c r="I2" s="27"/>
      <c r="J2" s="27"/>
      <c r="K2" s="27"/>
      <c r="L2" s="122"/>
    </row>
    <row r="3" spans="1:12" s="31" customFormat="1" ht="21">
      <c r="A3" s="926">
        <f>'RFPR cover'!C7</f>
        <v>2020</v>
      </c>
      <c r="B3" s="927"/>
      <c r="C3" s="148"/>
      <c r="D3" s="123"/>
      <c r="E3" s="123"/>
      <c r="F3" s="123"/>
      <c r="G3" s="123"/>
      <c r="H3" s="123"/>
      <c r="I3" s="28"/>
      <c r="J3" s="28"/>
      <c r="K3" s="28"/>
      <c r="L3" s="124"/>
    </row>
    <row r="4" spans="1:12" s="2" customFormat="1" ht="12.75" customHeight="1">
      <c r="C4" s="135"/>
    </row>
    <row r="5" spans="1:12" s="2" customFormat="1">
      <c r="B5" s="3"/>
      <c r="C5" s="135"/>
      <c r="D5" s="388" t="str">
        <f>IF(D6&lt;='RFPR cover'!$C$7,"Actuals","N/A")</f>
        <v>Actuals</v>
      </c>
      <c r="E5" s="389" t="str">
        <f>IF(E6&lt;='RFPR cover'!$C$7,"Actuals","N/A")</f>
        <v>Actuals</v>
      </c>
      <c r="F5" s="389" t="str">
        <f>IF(F6&lt;='RFPR cover'!$C$7,"Actuals","N/A")</f>
        <v>Actuals</v>
      </c>
      <c r="G5" s="389" t="str">
        <f>IF(G6&lt;='RFPR cover'!$C$7,"Actuals","N/A")</f>
        <v>Actuals</v>
      </c>
      <c r="H5" s="389" t="str">
        <f>IF(H6&lt;='RFPR cover'!$C$7,"Actuals","N/A")</f>
        <v>Actuals</v>
      </c>
      <c r="I5" s="389" t="str">
        <f>IF(I6&lt;='RFPR cover'!$C$7,"Actuals","N/A")</f>
        <v>N/A</v>
      </c>
      <c r="J5" s="389" t="str">
        <f>IF(J6&lt;='RFPR cover'!$C$7,"Actuals","N/A")</f>
        <v>N/A</v>
      </c>
      <c r="K5" s="390" t="str">
        <f>IF(K6&lt;='RFPR cover'!$C$7,"Actuals","N/A")</f>
        <v>N/A</v>
      </c>
    </row>
    <row r="6" spans="1:12" s="2" customFormat="1">
      <c r="C6" s="135"/>
      <c r="D6" s="116">
        <f>'RFPR cover'!$C$13</f>
        <v>2016</v>
      </c>
      <c r="E6" s="117">
        <f>D6+1</f>
        <v>2017</v>
      </c>
      <c r="F6" s="117">
        <f t="shared" ref="F6:K6" si="0">E6+1</f>
        <v>2018</v>
      </c>
      <c r="G6" s="117">
        <f t="shared" si="0"/>
        <v>2019</v>
      </c>
      <c r="H6" s="117">
        <f t="shared" si="0"/>
        <v>2020</v>
      </c>
      <c r="I6" s="117">
        <f t="shared" si="0"/>
        <v>2021</v>
      </c>
      <c r="J6" s="117">
        <f t="shared" si="0"/>
        <v>2022</v>
      </c>
      <c r="K6" s="194">
        <f t="shared" si="0"/>
        <v>2023</v>
      </c>
    </row>
    <row r="7" spans="1:12" s="2" customFormat="1">
      <c r="C7" s="135"/>
    </row>
    <row r="8" spans="1:12" s="2" customFormat="1">
      <c r="B8" s="51" t="s">
        <v>316</v>
      </c>
      <c r="C8" s="136"/>
      <c r="D8" s="51"/>
      <c r="E8" s="51"/>
      <c r="F8" s="51"/>
      <c r="G8" s="51"/>
      <c r="H8" s="51"/>
      <c r="I8" s="51"/>
      <c r="J8" s="51"/>
      <c r="K8" s="51"/>
      <c r="L8" s="35"/>
    </row>
    <row r="9" spans="1:12" s="2" customFormat="1">
      <c r="B9" s="128" t="s">
        <v>160</v>
      </c>
      <c r="C9" s="151" t="s">
        <v>128</v>
      </c>
      <c r="D9" s="593">
        <v>218.90509999999986</v>
      </c>
      <c r="E9" s="594">
        <v>250.83599999999998</v>
      </c>
      <c r="F9" s="594">
        <v>238.85800000000003</v>
      </c>
      <c r="G9" s="594">
        <v>211.24299999999999</v>
      </c>
      <c r="H9" s="594">
        <v>229.10000000000002</v>
      </c>
      <c r="I9" s="594"/>
      <c r="J9" s="594"/>
      <c r="K9" s="604"/>
    </row>
    <row r="10" spans="1:12" s="2" customFormat="1">
      <c r="B10" s="128" t="s">
        <v>161</v>
      </c>
      <c r="C10" s="151" t="s">
        <v>128</v>
      </c>
      <c r="D10" s="595">
        <v>3.0999999999999996</v>
      </c>
      <c r="E10" s="596">
        <v>2</v>
      </c>
      <c r="F10" s="596">
        <v>8.1999999999999993</v>
      </c>
      <c r="G10" s="596">
        <v>6.2</v>
      </c>
      <c r="H10" s="596">
        <v>6.4</v>
      </c>
      <c r="I10" s="596"/>
      <c r="J10" s="596"/>
      <c r="K10" s="605"/>
    </row>
    <row r="11" spans="1:12" s="2" customFormat="1" ht="29.25" customHeight="1">
      <c r="B11" s="129" t="s">
        <v>456</v>
      </c>
      <c r="C11" s="151" t="s">
        <v>128</v>
      </c>
      <c r="D11" s="595">
        <v>-2.3889</v>
      </c>
      <c r="E11" s="596">
        <v>0</v>
      </c>
      <c r="F11" s="596">
        <v>0</v>
      </c>
      <c r="G11" s="596">
        <v>0</v>
      </c>
      <c r="H11" s="596">
        <v>0</v>
      </c>
      <c r="I11" s="596"/>
      <c r="J11" s="596"/>
      <c r="K11" s="605"/>
    </row>
    <row r="12" spans="1:12" s="2" customFormat="1">
      <c r="B12" s="128" t="s">
        <v>162</v>
      </c>
      <c r="C12" s="151" t="s">
        <v>128</v>
      </c>
      <c r="D12" s="595">
        <v>-36.664400000000001</v>
      </c>
      <c r="E12" s="596">
        <v>-38.732050890000004</v>
      </c>
      <c r="F12" s="596">
        <v>-37.055998950000003</v>
      </c>
      <c r="G12" s="596">
        <v>-33.293672500000007</v>
      </c>
      <c r="H12" s="596">
        <v>-30.720282109999999</v>
      </c>
      <c r="I12" s="596"/>
      <c r="J12" s="596"/>
      <c r="K12" s="605"/>
    </row>
    <row r="13" spans="1:12" s="2" customFormat="1">
      <c r="B13" s="128" t="s">
        <v>163</v>
      </c>
      <c r="C13" s="151" t="s">
        <v>128</v>
      </c>
      <c r="D13" s="595">
        <v>-0.30099999999999999</v>
      </c>
      <c r="E13" s="596">
        <v>0.46400000000000002</v>
      </c>
      <c r="F13" s="596">
        <v>0.64200000000000002</v>
      </c>
      <c r="G13" s="596">
        <v>2.0569999999999999</v>
      </c>
      <c r="H13" s="596">
        <v>0</v>
      </c>
      <c r="I13" s="596"/>
      <c r="J13" s="596"/>
      <c r="K13" s="605"/>
    </row>
    <row r="14" spans="1:12" s="2" customFormat="1">
      <c r="B14" s="128" t="s">
        <v>164</v>
      </c>
      <c r="C14" s="151" t="s">
        <v>128</v>
      </c>
      <c r="D14" s="631">
        <v>0</v>
      </c>
      <c r="E14" s="632">
        <v>0</v>
      </c>
      <c r="F14" s="632">
        <v>0</v>
      </c>
      <c r="G14" s="632">
        <v>0</v>
      </c>
      <c r="H14" s="632">
        <v>0</v>
      </c>
      <c r="I14" s="632"/>
      <c r="J14" s="632"/>
      <c r="K14" s="633"/>
    </row>
    <row r="15" spans="1:12" s="2" customFormat="1">
      <c r="A15" s="3">
        <v>1</v>
      </c>
      <c r="B15" s="871" t="s">
        <v>243</v>
      </c>
      <c r="C15" s="151" t="s">
        <v>128</v>
      </c>
      <c r="D15" s="593"/>
      <c r="E15" s="594"/>
      <c r="F15" s="594"/>
      <c r="G15" s="594"/>
      <c r="H15" s="594"/>
      <c r="I15" s="594"/>
      <c r="J15" s="594"/>
      <c r="K15" s="604"/>
    </row>
    <row r="16" spans="1:12" s="2" customFormat="1">
      <c r="A16" s="3">
        <v>2</v>
      </c>
      <c r="B16" s="871" t="s">
        <v>243</v>
      </c>
      <c r="C16" s="151" t="s">
        <v>128</v>
      </c>
      <c r="D16" s="595"/>
      <c r="E16" s="596"/>
      <c r="F16" s="596"/>
      <c r="G16" s="596"/>
      <c r="H16" s="596"/>
      <c r="I16" s="596"/>
      <c r="J16" s="596"/>
      <c r="K16" s="605"/>
    </row>
    <row r="17" spans="1:13" s="2" customFormat="1">
      <c r="A17" s="3">
        <v>3</v>
      </c>
      <c r="B17" s="871" t="s">
        <v>243</v>
      </c>
      <c r="C17" s="151" t="s">
        <v>128</v>
      </c>
      <c r="D17" s="595"/>
      <c r="E17" s="596"/>
      <c r="F17" s="596"/>
      <c r="G17" s="596"/>
      <c r="H17" s="596"/>
      <c r="I17" s="596"/>
      <c r="J17" s="596"/>
      <c r="K17" s="605"/>
    </row>
    <row r="18" spans="1:13" s="2" customFormat="1">
      <c r="B18" s="12" t="s">
        <v>165</v>
      </c>
      <c r="C18" s="151" t="s">
        <v>128</v>
      </c>
      <c r="D18" s="634">
        <f>SUM(D9:D17)</f>
        <v>182.65079999999986</v>
      </c>
      <c r="E18" s="635">
        <f t="shared" ref="E18:K18" si="1">SUM(E9:E17)</f>
        <v>214.56794910999997</v>
      </c>
      <c r="F18" s="635">
        <f t="shared" si="1"/>
        <v>210.64400105000001</v>
      </c>
      <c r="G18" s="635">
        <f t="shared" si="1"/>
        <v>186.20632749999996</v>
      </c>
      <c r="H18" s="635">
        <f t="shared" si="1"/>
        <v>204.77971789000003</v>
      </c>
      <c r="I18" s="635">
        <f t="shared" si="1"/>
        <v>0</v>
      </c>
      <c r="J18" s="635">
        <f t="shared" si="1"/>
        <v>0</v>
      </c>
      <c r="K18" s="636">
        <f t="shared" si="1"/>
        <v>0</v>
      </c>
    </row>
    <row r="19" spans="1:13" s="2" customFormat="1">
      <c r="B19" s="128" t="s">
        <v>166</v>
      </c>
      <c r="C19" s="151" t="s">
        <v>128</v>
      </c>
      <c r="D19" s="637">
        <v>97.7</v>
      </c>
      <c r="E19" s="638">
        <v>88.6</v>
      </c>
      <c r="F19" s="638">
        <v>99.199999999999974</v>
      </c>
      <c r="G19" s="638">
        <v>111.69999999999999</v>
      </c>
      <c r="H19" s="638">
        <v>120.4</v>
      </c>
      <c r="I19" s="638"/>
      <c r="J19" s="638"/>
      <c r="K19" s="639"/>
    </row>
    <row r="20" spans="1:13" s="2" customFormat="1">
      <c r="A20" s="3">
        <v>1</v>
      </c>
      <c r="B20" s="871" t="s">
        <v>243</v>
      </c>
      <c r="C20" s="151" t="s">
        <v>128</v>
      </c>
      <c r="D20" s="593"/>
      <c r="E20" s="594"/>
      <c r="F20" s="594"/>
      <c r="G20" s="594"/>
      <c r="H20" s="594"/>
      <c r="I20" s="594"/>
      <c r="J20" s="594"/>
      <c r="K20" s="604"/>
    </row>
    <row r="21" spans="1:13" s="2" customFormat="1">
      <c r="A21" s="3">
        <v>2</v>
      </c>
      <c r="B21" s="871" t="s">
        <v>243</v>
      </c>
      <c r="C21" s="151" t="s">
        <v>128</v>
      </c>
      <c r="D21" s="595"/>
      <c r="E21" s="596"/>
      <c r="F21" s="596"/>
      <c r="G21" s="596"/>
      <c r="H21" s="596"/>
      <c r="I21" s="596"/>
      <c r="J21" s="596"/>
      <c r="K21" s="605"/>
    </row>
    <row r="22" spans="1:13" s="2" customFormat="1">
      <c r="A22" s="3">
        <v>3</v>
      </c>
      <c r="B22" s="871" t="s">
        <v>243</v>
      </c>
      <c r="C22" s="151" t="s">
        <v>128</v>
      </c>
      <c r="D22" s="595"/>
      <c r="E22" s="596"/>
      <c r="F22" s="596"/>
      <c r="G22" s="596"/>
      <c r="H22" s="596"/>
      <c r="I22" s="596"/>
      <c r="J22" s="596"/>
      <c r="K22" s="605"/>
    </row>
    <row r="23" spans="1:13" s="2" customFormat="1">
      <c r="B23" s="12" t="s">
        <v>167</v>
      </c>
      <c r="C23" s="151" t="s">
        <v>128</v>
      </c>
      <c r="D23" s="609">
        <f>SUM(D18:D22)</f>
        <v>280.35079999999988</v>
      </c>
      <c r="E23" s="610">
        <f t="shared" ref="E23:K23" si="2">SUM(E18:E22)</f>
        <v>303.16794911</v>
      </c>
      <c r="F23" s="610">
        <f t="shared" si="2"/>
        <v>309.84400104999997</v>
      </c>
      <c r="G23" s="610">
        <f t="shared" si="2"/>
        <v>297.90632749999997</v>
      </c>
      <c r="H23" s="610">
        <f t="shared" si="2"/>
        <v>325.17971789000001</v>
      </c>
      <c r="I23" s="610">
        <f t="shared" si="2"/>
        <v>0</v>
      </c>
      <c r="J23" s="610">
        <f t="shared" si="2"/>
        <v>0</v>
      </c>
      <c r="K23" s="611">
        <f t="shared" si="2"/>
        <v>0</v>
      </c>
    </row>
    <row r="24" spans="1:13" s="2" customFormat="1">
      <c r="C24" s="135"/>
      <c r="D24" s="52"/>
      <c r="E24" s="52"/>
      <c r="F24" s="52"/>
      <c r="G24" s="52"/>
      <c r="H24" s="52"/>
      <c r="I24" s="52"/>
      <c r="J24" s="52"/>
      <c r="K24" s="52"/>
    </row>
    <row r="25" spans="1:13" s="2" customFormat="1">
      <c r="B25" s="12" t="s">
        <v>446</v>
      </c>
      <c r="C25" s="151" t="s">
        <v>128</v>
      </c>
      <c r="D25" s="54"/>
    </row>
    <row r="26" spans="1:13" s="2" customFormat="1">
      <c r="A26" s="3">
        <v>1</v>
      </c>
      <c r="B26" s="519" t="s">
        <v>586</v>
      </c>
      <c r="C26" s="151" t="s">
        <v>128</v>
      </c>
      <c r="D26" s="593">
        <v>1.2522</v>
      </c>
      <c r="E26" s="594">
        <v>-0.5</v>
      </c>
      <c r="F26" s="594">
        <v>-0.2</v>
      </c>
      <c r="G26" s="594">
        <v>-1</v>
      </c>
      <c r="H26" s="594">
        <v>0</v>
      </c>
      <c r="I26" s="594"/>
      <c r="J26" s="594"/>
      <c r="K26" s="604"/>
    </row>
    <row r="27" spans="1:13" s="2" customFormat="1">
      <c r="A27" s="3">
        <v>2</v>
      </c>
      <c r="B27" s="519" t="s">
        <v>587</v>
      </c>
      <c r="C27" s="151" t="s">
        <v>128</v>
      </c>
      <c r="D27" s="595">
        <v>-8.8451939999999993</v>
      </c>
      <c r="E27" s="596">
        <v>-10.25974302</v>
      </c>
      <c r="F27" s="596">
        <v>-9.6650935399999991</v>
      </c>
      <c r="G27" s="596">
        <v>-10.479960330000001</v>
      </c>
      <c r="H27" s="596">
        <v>-11.66245</v>
      </c>
      <c r="I27" s="596"/>
      <c r="J27" s="596"/>
      <c r="K27" s="605"/>
    </row>
    <row r="28" spans="1:13" s="2" customFormat="1">
      <c r="A28" s="3">
        <v>3</v>
      </c>
      <c r="B28" s="519" t="s">
        <v>588</v>
      </c>
      <c r="C28" s="151" t="s">
        <v>128</v>
      </c>
      <c r="D28" s="595">
        <v>53.238700000000009</v>
      </c>
      <c r="E28" s="596">
        <v>-1.0814236025000028</v>
      </c>
      <c r="F28" s="596">
        <v>2.07898505</v>
      </c>
      <c r="G28" s="596">
        <v>-2.2346138600000001</v>
      </c>
      <c r="H28" s="596">
        <v>-1.66279931</v>
      </c>
      <c r="I28" s="596"/>
      <c r="J28" s="596"/>
      <c r="K28" s="605"/>
    </row>
    <row r="29" spans="1:13" s="2" customFormat="1">
      <c r="A29" s="3">
        <v>4</v>
      </c>
      <c r="B29" s="519" t="s">
        <v>589</v>
      </c>
      <c r="C29" s="151" t="s">
        <v>128</v>
      </c>
      <c r="D29" s="595">
        <v>-0.25964577</v>
      </c>
      <c r="E29" s="596">
        <v>-0.53405100000000005</v>
      </c>
      <c r="F29" s="596">
        <v>-7.650860000000001E-2</v>
      </c>
      <c r="G29" s="596">
        <v>0.41265855000000001</v>
      </c>
      <c r="H29" s="596">
        <v>-0.8791717</v>
      </c>
      <c r="I29" s="596"/>
      <c r="J29" s="596"/>
      <c r="K29" s="605"/>
    </row>
    <row r="30" spans="1:13" s="2" customFormat="1">
      <c r="A30" s="3">
        <v>5</v>
      </c>
      <c r="B30" s="519" t="s">
        <v>590</v>
      </c>
      <c r="C30" s="151" t="s">
        <v>128</v>
      </c>
      <c r="D30" s="595">
        <v>0.21889239150000006</v>
      </c>
      <c r="E30" s="596">
        <v>-0.61413521749999977</v>
      </c>
      <c r="F30" s="596">
        <v>-0.99404895750000011</v>
      </c>
      <c r="G30" s="596">
        <v>-1.0639627325000003</v>
      </c>
      <c r="H30" s="596">
        <v>-2.9753521624999992</v>
      </c>
      <c r="I30" s="596"/>
      <c r="J30" s="596"/>
      <c r="K30" s="605"/>
    </row>
    <row r="31" spans="1:13" s="2" customFormat="1">
      <c r="A31" s="3">
        <v>6</v>
      </c>
      <c r="B31" s="519" t="s">
        <v>591</v>
      </c>
      <c r="C31" s="151" t="s">
        <v>128</v>
      </c>
      <c r="D31" s="595">
        <v>-1.9776003519999996</v>
      </c>
      <c r="E31" s="596">
        <v>-2.6860033630000002</v>
      </c>
      <c r="F31" s="596">
        <v>-2.7193234500000001</v>
      </c>
      <c r="G31" s="596">
        <v>-5.7949796899999999</v>
      </c>
      <c r="H31" s="596">
        <v>-3.2436951199899995</v>
      </c>
      <c r="I31" s="596"/>
      <c r="J31" s="596"/>
      <c r="K31" s="605"/>
    </row>
    <row r="32" spans="1:13" s="2" customFormat="1">
      <c r="A32" s="3">
        <v>7</v>
      </c>
      <c r="B32" s="519" t="s">
        <v>592</v>
      </c>
      <c r="C32" s="151" t="s">
        <v>128</v>
      </c>
      <c r="D32" s="595">
        <v>0.76088299999999998</v>
      </c>
      <c r="E32" s="596">
        <v>0.63873232000999991</v>
      </c>
      <c r="F32" s="596">
        <v>0.49299996000000001</v>
      </c>
      <c r="G32" s="596">
        <v>0.52687464000000006</v>
      </c>
      <c r="H32" s="596">
        <v>0.55494197999999995</v>
      </c>
      <c r="I32" s="596"/>
      <c r="J32" s="596"/>
      <c r="K32" s="605"/>
      <c r="M32" s="944"/>
    </row>
    <row r="33" spans="1:11" s="2" customFormat="1">
      <c r="A33" s="3">
        <v>8</v>
      </c>
      <c r="B33" s="519" t="s">
        <v>593</v>
      </c>
      <c r="C33" s="151" t="s">
        <v>128</v>
      </c>
      <c r="D33" s="595">
        <v>-0.55139538509198327</v>
      </c>
      <c r="E33" s="596">
        <v>-0.66415934379722696</v>
      </c>
      <c r="F33" s="596">
        <v>-0.39302118078635234</v>
      </c>
      <c r="G33" s="596">
        <v>-0.26235836656454009</v>
      </c>
      <c r="H33" s="596">
        <v>-0.3206669850722198</v>
      </c>
      <c r="I33" s="596"/>
      <c r="J33" s="596"/>
      <c r="K33" s="605"/>
    </row>
    <row r="34" spans="1:11" s="2" customFormat="1">
      <c r="A34" s="3">
        <v>9</v>
      </c>
      <c r="B34" s="519" t="s">
        <v>594</v>
      </c>
      <c r="C34" s="151" t="s">
        <v>128</v>
      </c>
      <c r="D34" s="595">
        <v>-6.7569460931915879</v>
      </c>
      <c r="E34" s="596">
        <v>-3.4819500000000003</v>
      </c>
      <c r="F34" s="596">
        <v>3.0999499999999998</v>
      </c>
      <c r="G34" s="596">
        <v>0.62856900000000016</v>
      </c>
      <c r="H34" s="596">
        <v>3.9455264625000002</v>
      </c>
      <c r="I34" s="596"/>
      <c r="J34" s="596"/>
      <c r="K34" s="605"/>
    </row>
    <row r="35" spans="1:11" s="2" customFormat="1">
      <c r="A35" s="3">
        <v>10</v>
      </c>
      <c r="B35" s="519" t="s">
        <v>595</v>
      </c>
      <c r="C35" s="151" t="s">
        <v>128</v>
      </c>
      <c r="D35" s="595">
        <v>-12.372441754686406</v>
      </c>
      <c r="E35" s="596">
        <v>42.079265697291881</v>
      </c>
      <c r="F35" s="596">
        <v>0.8254999999999999</v>
      </c>
      <c r="G35" s="596">
        <v>42.839547997515787</v>
      </c>
      <c r="H35" s="596">
        <v>42.278607512163866</v>
      </c>
      <c r="I35" s="596"/>
      <c r="J35" s="596"/>
      <c r="K35" s="605"/>
    </row>
    <row r="36" spans="1:11" s="2" customFormat="1">
      <c r="A36" s="3">
        <v>11</v>
      </c>
      <c r="B36" s="519" t="s">
        <v>596</v>
      </c>
      <c r="C36" s="151" t="s">
        <v>128</v>
      </c>
      <c r="D36" s="595">
        <v>0</v>
      </c>
      <c r="E36" s="596">
        <v>60.184163468970219</v>
      </c>
      <c r="F36" s="596">
        <v>-16.203195905948611</v>
      </c>
      <c r="G36" s="596">
        <v>-0.58652125016417855</v>
      </c>
      <c r="H36" s="596">
        <v>0</v>
      </c>
      <c r="I36" s="596"/>
      <c r="J36" s="596"/>
      <c r="K36" s="605"/>
    </row>
    <row r="37" spans="1:11" s="2" customFormat="1">
      <c r="A37" s="3">
        <v>12</v>
      </c>
      <c r="B37" s="519" t="s">
        <v>597</v>
      </c>
      <c r="C37" s="151" t="s">
        <v>128</v>
      </c>
      <c r="D37" s="595">
        <v>0</v>
      </c>
      <c r="E37" s="596">
        <v>-0.71853896250000004</v>
      </c>
      <c r="F37" s="596">
        <v>-5.9908820016485187</v>
      </c>
      <c r="G37" s="596">
        <v>-5.4153558960123913</v>
      </c>
      <c r="H37" s="596">
        <v>-6.2756608985123847</v>
      </c>
      <c r="I37" s="596"/>
      <c r="J37" s="596"/>
      <c r="K37" s="605"/>
    </row>
    <row r="38" spans="1:11" s="2" customFormat="1">
      <c r="A38" s="3">
        <v>13</v>
      </c>
      <c r="B38" s="519" t="s">
        <v>598</v>
      </c>
      <c r="C38" s="151" t="s">
        <v>128</v>
      </c>
      <c r="D38" s="595">
        <v>0</v>
      </c>
      <c r="E38" s="596">
        <v>0</v>
      </c>
      <c r="F38" s="596">
        <v>-0.86984739427790825</v>
      </c>
      <c r="G38" s="596">
        <v>-0.35026929186895583</v>
      </c>
      <c r="H38" s="596">
        <v>-0.40377070603452514</v>
      </c>
      <c r="I38" s="596"/>
      <c r="J38" s="596"/>
      <c r="K38" s="605"/>
    </row>
    <row r="39" spans="1:11" s="2" customFormat="1">
      <c r="A39" s="3">
        <v>14</v>
      </c>
      <c r="B39" s="519" t="s">
        <v>599</v>
      </c>
      <c r="C39" s="151" t="s">
        <v>128</v>
      </c>
      <c r="D39" s="595">
        <v>-0.9000999999999999</v>
      </c>
      <c r="E39" s="596">
        <v>0</v>
      </c>
      <c r="F39" s="596">
        <v>0</v>
      </c>
      <c r="G39" s="596">
        <v>0</v>
      </c>
      <c r="H39" s="596">
        <v>0</v>
      </c>
      <c r="I39" s="596"/>
      <c r="J39" s="596"/>
      <c r="K39" s="605"/>
    </row>
    <row r="40" spans="1:11" s="2" customFormat="1">
      <c r="A40" s="3">
        <v>15</v>
      </c>
      <c r="B40" s="519" t="s">
        <v>600</v>
      </c>
      <c r="C40" s="151" t="s">
        <v>128</v>
      </c>
      <c r="D40" s="595">
        <v>0.5</v>
      </c>
      <c r="E40" s="596">
        <v>0.35</v>
      </c>
      <c r="F40" s="596">
        <v>2.2000000000000002</v>
      </c>
      <c r="G40" s="596">
        <v>0.18621948519989928</v>
      </c>
      <c r="H40" s="596">
        <v>-7.0746372824750936E-2</v>
      </c>
      <c r="I40" s="596"/>
      <c r="J40" s="596"/>
      <c r="K40" s="605"/>
    </row>
    <row r="41" spans="1:11" s="2" customFormat="1">
      <c r="A41" s="3">
        <v>16</v>
      </c>
      <c r="B41" s="519" t="s">
        <v>601</v>
      </c>
      <c r="C41" s="151" t="s">
        <v>128</v>
      </c>
      <c r="D41" s="595">
        <v>0</v>
      </c>
      <c r="E41" s="596">
        <v>0</v>
      </c>
      <c r="F41" s="596">
        <v>0</v>
      </c>
      <c r="G41" s="596">
        <v>-1.5</v>
      </c>
      <c r="H41" s="596">
        <v>0</v>
      </c>
      <c r="I41" s="596"/>
      <c r="J41" s="596"/>
      <c r="K41" s="605"/>
    </row>
    <row r="42" spans="1:11" s="2" customFormat="1">
      <c r="A42" s="3">
        <v>17</v>
      </c>
      <c r="B42" s="519" t="s">
        <v>606</v>
      </c>
      <c r="C42" s="151" t="s">
        <v>128</v>
      </c>
      <c r="D42" s="595">
        <v>0</v>
      </c>
      <c r="E42" s="596">
        <v>0</v>
      </c>
      <c r="F42" s="596">
        <v>0</v>
      </c>
      <c r="G42" s="596">
        <v>1.0920000000000001</v>
      </c>
      <c r="H42" s="596">
        <v>0.50074658839999997</v>
      </c>
      <c r="I42" s="596"/>
      <c r="J42" s="596"/>
      <c r="K42" s="605"/>
    </row>
    <row r="43" spans="1:11" s="2" customFormat="1">
      <c r="A43" s="3">
        <v>18</v>
      </c>
      <c r="B43" s="519" t="s">
        <v>631</v>
      </c>
      <c r="C43" s="151" t="s">
        <v>128</v>
      </c>
      <c r="D43" s="595">
        <v>0</v>
      </c>
      <c r="E43" s="596">
        <v>0</v>
      </c>
      <c r="F43" s="596">
        <v>0</v>
      </c>
      <c r="G43" s="596">
        <v>0</v>
      </c>
      <c r="H43" s="596">
        <v>3.5</v>
      </c>
      <c r="I43" s="596"/>
      <c r="J43" s="596"/>
      <c r="K43" s="605"/>
    </row>
    <row r="44" spans="1:11" s="2" customFormat="1">
      <c r="A44" s="3">
        <v>19</v>
      </c>
      <c r="B44" s="951" t="s">
        <v>652</v>
      </c>
      <c r="C44" s="151" t="s">
        <v>128</v>
      </c>
      <c r="D44" s="595">
        <v>0</v>
      </c>
      <c r="E44" s="596">
        <v>0</v>
      </c>
      <c r="F44" s="596">
        <v>0</v>
      </c>
      <c r="G44" s="596">
        <v>0</v>
      </c>
      <c r="H44" s="952">
        <v>-1.3396177615273075</v>
      </c>
      <c r="I44" s="596"/>
      <c r="J44" s="596"/>
      <c r="K44" s="605"/>
    </row>
    <row r="45" spans="1:11" s="2" customFormat="1">
      <c r="A45" s="3">
        <v>20</v>
      </c>
      <c r="B45" s="519" t="s">
        <v>243</v>
      </c>
      <c r="C45" s="151" t="s">
        <v>128</v>
      </c>
      <c r="D45" s="595"/>
      <c r="E45" s="596"/>
      <c r="F45" s="596"/>
      <c r="G45" s="596"/>
      <c r="H45" s="596"/>
      <c r="I45" s="596"/>
      <c r="J45" s="596"/>
      <c r="K45" s="605"/>
    </row>
    <row r="46" spans="1:11" s="2" customFormat="1">
      <c r="B46" s="12" t="s">
        <v>399</v>
      </c>
      <c r="C46" s="151" t="s">
        <v>128</v>
      </c>
      <c r="D46" s="609">
        <f>SUM(D26:D45)</f>
        <v>24.30735203653003</v>
      </c>
      <c r="E46" s="610">
        <f t="shared" ref="E46:K46" si="3">SUM(E26:E45)</f>
        <v>82.712156976974853</v>
      </c>
      <c r="F46" s="610">
        <f t="shared" si="3"/>
        <v>-28.414486020161391</v>
      </c>
      <c r="G46" s="610">
        <f t="shared" si="3"/>
        <v>16.997848255605618</v>
      </c>
      <c r="H46" s="610">
        <f t="shared" si="3"/>
        <v>21.945891526602676</v>
      </c>
      <c r="I46" s="610">
        <f t="shared" si="3"/>
        <v>0</v>
      </c>
      <c r="J46" s="610">
        <f t="shared" si="3"/>
        <v>0</v>
      </c>
      <c r="K46" s="611">
        <f t="shared" si="3"/>
        <v>0</v>
      </c>
    </row>
    <row r="47" spans="1:11" s="2" customFormat="1">
      <c r="C47" s="135"/>
      <c r="D47" s="53"/>
      <c r="E47" s="52"/>
      <c r="F47" s="52"/>
      <c r="G47" s="52"/>
      <c r="H47" s="52"/>
      <c r="I47" s="52"/>
      <c r="J47" s="52"/>
      <c r="K47" s="52"/>
    </row>
    <row r="48" spans="1:11" s="2" customFormat="1">
      <c r="B48" s="12" t="s">
        <v>445</v>
      </c>
      <c r="C48" s="151" t="s">
        <v>128</v>
      </c>
      <c r="D48" s="609">
        <f>D46+D23</f>
        <v>304.65815203652988</v>
      </c>
      <c r="E48" s="610">
        <f t="shared" ref="E48:K48" si="4">E46+E23</f>
        <v>385.88010608697482</v>
      </c>
      <c r="F48" s="610">
        <f t="shared" si="4"/>
        <v>281.42951502983857</v>
      </c>
      <c r="G48" s="610">
        <f t="shared" si="4"/>
        <v>314.90417575560559</v>
      </c>
      <c r="H48" s="610">
        <f t="shared" si="4"/>
        <v>347.12560941660269</v>
      </c>
      <c r="I48" s="610">
        <f t="shared" si="4"/>
        <v>0</v>
      </c>
      <c r="J48" s="610">
        <f t="shared" si="4"/>
        <v>0</v>
      </c>
      <c r="K48" s="611">
        <f t="shared" si="4"/>
        <v>0</v>
      </c>
    </row>
    <row r="49" spans="1:11" s="2" customFormat="1">
      <c r="B49" s="2" t="s">
        <v>400</v>
      </c>
      <c r="C49" s="151" t="s">
        <v>128</v>
      </c>
      <c r="D49" s="593">
        <v>304.69439999999997</v>
      </c>
      <c r="E49" s="594">
        <v>385.88942066075998</v>
      </c>
      <c r="F49" s="594">
        <v>281.40392215565799</v>
      </c>
      <c r="G49" s="594">
        <v>314.90938879022497</v>
      </c>
      <c r="H49" s="955">
        <v>347.12532755937269</v>
      </c>
      <c r="I49" s="594"/>
      <c r="J49" s="594"/>
      <c r="K49" s="604"/>
    </row>
    <row r="50" spans="1:11" s="2" customFormat="1">
      <c r="C50" s="135" t="s">
        <v>403</v>
      </c>
      <c r="D50" s="640" t="str">
        <f>IF(D$5="Actuals",IF(ABS(D48-D49)&lt;1,"OK","ERROR"),"N/A")</f>
        <v>OK</v>
      </c>
      <c r="E50" s="641" t="str">
        <f t="shared" ref="E50:K50" si="5">IF(E$5="Actuals",IF(ABS(E48-E49)&lt;1,"OK","ERROR"),"N/A")</f>
        <v>OK</v>
      </c>
      <c r="F50" s="641" t="str">
        <f t="shared" si="5"/>
        <v>OK</v>
      </c>
      <c r="G50" s="641" t="str">
        <f t="shared" si="5"/>
        <v>OK</v>
      </c>
      <c r="H50" s="641" t="str">
        <f t="shared" si="5"/>
        <v>OK</v>
      </c>
      <c r="I50" s="641" t="str">
        <f t="shared" si="5"/>
        <v>N/A</v>
      </c>
      <c r="J50" s="641" t="str">
        <f t="shared" si="5"/>
        <v>N/A</v>
      </c>
      <c r="K50" s="642" t="str">
        <f t="shared" si="5"/>
        <v>N/A</v>
      </c>
    </row>
    <row r="51" spans="1:11" s="2" customFormat="1">
      <c r="B51" s="2" t="s">
        <v>84</v>
      </c>
      <c r="C51" s="135"/>
      <c r="D51" s="54"/>
    </row>
    <row r="52" spans="1:11" s="2" customFormat="1">
      <c r="B52" s="12" t="s">
        <v>401</v>
      </c>
      <c r="C52" s="151"/>
      <c r="D52" s="54"/>
    </row>
    <row r="53" spans="1:11" s="2" customFormat="1">
      <c r="A53" s="3">
        <v>1</v>
      </c>
      <c r="B53" s="518" t="s">
        <v>602</v>
      </c>
      <c r="C53" s="151" t="s">
        <v>128</v>
      </c>
      <c r="D53" s="593">
        <v>25.5472</v>
      </c>
      <c r="E53" s="594">
        <v>25.741199999999999</v>
      </c>
      <c r="F53" s="594">
        <v>29.0656</v>
      </c>
      <c r="G53" s="594">
        <v>30.707578836799996</v>
      </c>
      <c r="H53" s="594">
        <v>30.939846588399995</v>
      </c>
      <c r="I53" s="594"/>
      <c r="J53" s="594"/>
      <c r="K53" s="604"/>
    </row>
    <row r="54" spans="1:11" s="2" customFormat="1">
      <c r="A54" s="3">
        <v>2</v>
      </c>
      <c r="B54" s="518" t="s">
        <v>603</v>
      </c>
      <c r="C54" s="151" t="s">
        <v>128</v>
      </c>
      <c r="D54" s="595">
        <v>39.034700000000001</v>
      </c>
      <c r="E54" s="596">
        <v>82.324065828947809</v>
      </c>
      <c r="F54" s="596">
        <v>-1.1018280300000001</v>
      </c>
      <c r="G54" s="596">
        <v>41.313564209999996</v>
      </c>
      <c r="H54" s="596">
        <v>41.273544179999995</v>
      </c>
      <c r="I54" s="596"/>
      <c r="J54" s="596"/>
      <c r="K54" s="605"/>
    </row>
    <row r="55" spans="1:11" s="2" customFormat="1">
      <c r="A55" s="3">
        <v>3</v>
      </c>
      <c r="B55" s="518" t="s">
        <v>604</v>
      </c>
      <c r="C55" s="151" t="s">
        <v>128</v>
      </c>
      <c r="D55" s="595">
        <v>10.561999999999999</v>
      </c>
      <c r="E55" s="596">
        <v>11.092699656368781</v>
      </c>
      <c r="F55" s="596">
        <v>14.251561383044811</v>
      </c>
      <c r="G55" s="596">
        <v>15.35345938257251</v>
      </c>
      <c r="H55" s="596">
        <v>27.808046530003715</v>
      </c>
      <c r="I55" s="596"/>
      <c r="J55" s="596"/>
      <c r="K55" s="605"/>
    </row>
    <row r="56" spans="1:11" s="2" customFormat="1">
      <c r="A56" s="3">
        <v>4</v>
      </c>
      <c r="B56" s="518" t="s">
        <v>605</v>
      </c>
      <c r="C56" s="151" t="s">
        <v>128</v>
      </c>
      <c r="D56" s="595">
        <v>6.4107000000000003</v>
      </c>
      <c r="E56" s="596">
        <v>5.6744999999999992</v>
      </c>
      <c r="F56" s="596">
        <v>5.5887677399999998</v>
      </c>
      <c r="G56" s="596">
        <v>5.4618687109872024</v>
      </c>
      <c r="H56" s="596">
        <v>4.4428696857685068</v>
      </c>
      <c r="I56" s="596"/>
      <c r="J56" s="596"/>
      <c r="K56" s="605"/>
    </row>
    <row r="57" spans="1:11" s="2" customFormat="1">
      <c r="A57" s="3">
        <v>5</v>
      </c>
      <c r="B57" s="518" t="s">
        <v>243</v>
      </c>
      <c r="C57" s="151" t="s">
        <v>128</v>
      </c>
      <c r="D57" s="595"/>
      <c r="E57" s="596"/>
      <c r="F57" s="596"/>
      <c r="G57" s="596"/>
      <c r="H57" s="596"/>
      <c r="I57" s="596"/>
      <c r="J57" s="596"/>
      <c r="K57" s="605"/>
    </row>
    <row r="58" spans="1:11" s="2" customFormat="1">
      <c r="A58" s="3">
        <v>6</v>
      </c>
      <c r="B58" s="518" t="s">
        <v>243</v>
      </c>
      <c r="C58" s="151" t="s">
        <v>128</v>
      </c>
      <c r="D58" s="595"/>
      <c r="E58" s="596"/>
      <c r="F58" s="596"/>
      <c r="G58" s="596"/>
      <c r="H58" s="596"/>
      <c r="I58" s="596"/>
      <c r="J58" s="596"/>
      <c r="K58" s="605"/>
    </row>
    <row r="59" spans="1:11" s="2" customFormat="1">
      <c r="A59" s="3">
        <v>7</v>
      </c>
      <c r="B59" s="518" t="s">
        <v>243</v>
      </c>
      <c r="C59" s="151" t="s">
        <v>128</v>
      </c>
      <c r="D59" s="595"/>
      <c r="E59" s="596"/>
      <c r="F59" s="596"/>
      <c r="G59" s="596"/>
      <c r="H59" s="596"/>
      <c r="I59" s="596"/>
      <c r="J59" s="596"/>
      <c r="K59" s="605"/>
    </row>
    <row r="60" spans="1:11" s="2" customFormat="1">
      <c r="A60" s="3">
        <v>8</v>
      </c>
      <c r="B60" s="518" t="s">
        <v>243</v>
      </c>
      <c r="C60" s="151" t="s">
        <v>128</v>
      </c>
      <c r="D60" s="595"/>
      <c r="E60" s="596"/>
      <c r="F60" s="596"/>
      <c r="G60" s="596"/>
      <c r="H60" s="596"/>
      <c r="I60" s="596"/>
      <c r="J60" s="596"/>
      <c r="K60" s="605"/>
    </row>
    <row r="61" spans="1:11" s="2" customFormat="1">
      <c r="A61" s="3">
        <v>9</v>
      </c>
      <c r="B61" s="518" t="s">
        <v>243</v>
      </c>
      <c r="C61" s="151" t="s">
        <v>128</v>
      </c>
      <c r="D61" s="595"/>
      <c r="E61" s="596"/>
      <c r="F61" s="596"/>
      <c r="G61" s="596"/>
      <c r="H61" s="596"/>
      <c r="I61" s="596"/>
      <c r="J61" s="596"/>
      <c r="K61" s="605"/>
    </row>
    <row r="62" spans="1:11" s="2" customFormat="1">
      <c r="A62" s="3">
        <v>10</v>
      </c>
      <c r="B62" s="518" t="s">
        <v>243</v>
      </c>
      <c r="C62" s="151" t="s">
        <v>128</v>
      </c>
      <c r="D62" s="595"/>
      <c r="E62" s="596"/>
      <c r="F62" s="596"/>
      <c r="G62" s="596"/>
      <c r="H62" s="596"/>
      <c r="I62" s="596"/>
      <c r="J62" s="596"/>
      <c r="K62" s="605"/>
    </row>
    <row r="63" spans="1:11" s="2" customFormat="1">
      <c r="A63" s="3">
        <v>11</v>
      </c>
      <c r="B63" s="518" t="s">
        <v>243</v>
      </c>
      <c r="C63" s="151" t="s">
        <v>128</v>
      </c>
      <c r="D63" s="595"/>
      <c r="E63" s="596"/>
      <c r="F63" s="596"/>
      <c r="G63" s="596"/>
      <c r="H63" s="596"/>
      <c r="I63" s="596"/>
      <c r="J63" s="596"/>
      <c r="K63" s="605"/>
    </row>
    <row r="64" spans="1:11" s="2" customFormat="1">
      <c r="A64" s="3">
        <v>12</v>
      </c>
      <c r="B64" s="518" t="s">
        <v>243</v>
      </c>
      <c r="C64" s="151" t="s">
        <v>128</v>
      </c>
      <c r="D64" s="595"/>
      <c r="E64" s="596"/>
      <c r="F64" s="596"/>
      <c r="G64" s="596"/>
      <c r="H64" s="596"/>
      <c r="I64" s="596"/>
      <c r="J64" s="596"/>
      <c r="K64" s="605"/>
    </row>
    <row r="65" spans="1:11" s="2" customFormat="1">
      <c r="A65" s="3">
        <v>13</v>
      </c>
      <c r="B65" s="518" t="s">
        <v>243</v>
      </c>
      <c r="C65" s="151" t="s">
        <v>128</v>
      </c>
      <c r="D65" s="595"/>
      <c r="E65" s="596"/>
      <c r="F65" s="596"/>
      <c r="G65" s="596"/>
      <c r="H65" s="596"/>
      <c r="I65" s="596"/>
      <c r="J65" s="596"/>
      <c r="K65" s="605"/>
    </row>
    <row r="66" spans="1:11" s="2" customFormat="1">
      <c r="A66" s="3">
        <v>14</v>
      </c>
      <c r="B66" s="518" t="s">
        <v>243</v>
      </c>
      <c r="C66" s="151" t="s">
        <v>128</v>
      </c>
      <c r="D66" s="595"/>
      <c r="E66" s="596"/>
      <c r="F66" s="596"/>
      <c r="G66" s="596"/>
      <c r="H66" s="596"/>
      <c r="I66" s="596"/>
      <c r="J66" s="596"/>
      <c r="K66" s="605"/>
    </row>
    <row r="67" spans="1:11" s="2" customFormat="1">
      <c r="A67" s="3">
        <v>15</v>
      </c>
      <c r="B67" s="518" t="s">
        <v>243</v>
      </c>
      <c r="C67" s="151" t="s">
        <v>128</v>
      </c>
      <c r="D67" s="595"/>
      <c r="E67" s="596"/>
      <c r="F67" s="596"/>
      <c r="G67" s="596"/>
      <c r="H67" s="596"/>
      <c r="I67" s="596"/>
      <c r="J67" s="596"/>
      <c r="K67" s="605"/>
    </row>
    <row r="68" spans="1:11" s="2" customFormat="1">
      <c r="A68" s="3">
        <v>16</v>
      </c>
      <c r="B68" s="518" t="s">
        <v>243</v>
      </c>
      <c r="C68" s="151" t="s">
        <v>128</v>
      </c>
      <c r="D68" s="595"/>
      <c r="E68" s="596"/>
      <c r="F68" s="596"/>
      <c r="G68" s="596"/>
      <c r="H68" s="596"/>
      <c r="I68" s="596"/>
      <c r="J68" s="596"/>
      <c r="K68" s="605"/>
    </row>
    <row r="69" spans="1:11" s="2" customFormat="1">
      <c r="A69" s="3">
        <v>17</v>
      </c>
      <c r="B69" s="518" t="s">
        <v>243</v>
      </c>
      <c r="C69" s="151" t="s">
        <v>128</v>
      </c>
      <c r="D69" s="595"/>
      <c r="E69" s="596"/>
      <c r="F69" s="596"/>
      <c r="G69" s="596"/>
      <c r="H69" s="596"/>
      <c r="I69" s="596"/>
      <c r="J69" s="596"/>
      <c r="K69" s="605"/>
    </row>
    <row r="70" spans="1:11" s="2" customFormat="1">
      <c r="A70" s="3">
        <v>18</v>
      </c>
      <c r="B70" s="518" t="s">
        <v>243</v>
      </c>
      <c r="C70" s="151" t="s">
        <v>128</v>
      </c>
      <c r="D70" s="595"/>
      <c r="E70" s="596"/>
      <c r="F70" s="596"/>
      <c r="G70" s="596"/>
      <c r="H70" s="596"/>
      <c r="I70" s="596"/>
      <c r="J70" s="596"/>
      <c r="K70" s="605"/>
    </row>
    <row r="71" spans="1:11" s="2" customFormat="1">
      <c r="A71" s="3">
        <v>19</v>
      </c>
      <c r="B71" s="518" t="s">
        <v>243</v>
      </c>
      <c r="C71" s="151" t="s">
        <v>128</v>
      </c>
      <c r="D71" s="595"/>
      <c r="E71" s="596"/>
      <c r="F71" s="596"/>
      <c r="G71" s="596"/>
      <c r="H71" s="596"/>
      <c r="I71" s="596"/>
      <c r="J71" s="596"/>
      <c r="K71" s="605"/>
    </row>
    <row r="72" spans="1:11" s="2" customFormat="1">
      <c r="A72" s="3">
        <v>20</v>
      </c>
      <c r="B72" s="518" t="s">
        <v>243</v>
      </c>
      <c r="C72" s="151" t="s">
        <v>128</v>
      </c>
      <c r="D72" s="595"/>
      <c r="E72" s="596"/>
      <c r="F72" s="596"/>
      <c r="G72" s="596"/>
      <c r="H72" s="596"/>
      <c r="I72" s="596"/>
      <c r="J72" s="596"/>
      <c r="K72" s="605"/>
    </row>
    <row r="73" spans="1:11" s="2" customFormat="1">
      <c r="A73" s="3">
        <v>21</v>
      </c>
      <c r="B73" s="518" t="s">
        <v>243</v>
      </c>
      <c r="C73" s="151" t="s">
        <v>128</v>
      </c>
      <c r="D73" s="595"/>
      <c r="E73" s="596"/>
      <c r="F73" s="596"/>
      <c r="G73" s="596"/>
      <c r="H73" s="596"/>
      <c r="I73" s="596"/>
      <c r="J73" s="596"/>
      <c r="K73" s="605"/>
    </row>
    <row r="74" spans="1:11" s="2" customFormat="1">
      <c r="A74" s="3">
        <v>22</v>
      </c>
      <c r="B74" s="518" t="s">
        <v>243</v>
      </c>
      <c r="C74" s="151" t="s">
        <v>128</v>
      </c>
      <c r="D74" s="595"/>
      <c r="E74" s="596"/>
      <c r="F74" s="596"/>
      <c r="G74" s="596"/>
      <c r="H74" s="596"/>
      <c r="I74" s="596"/>
      <c r="J74" s="596"/>
      <c r="K74" s="605"/>
    </row>
    <row r="75" spans="1:11" s="2" customFormat="1">
      <c r="A75" s="3">
        <v>23</v>
      </c>
      <c r="B75" s="518" t="s">
        <v>243</v>
      </c>
      <c r="C75" s="151" t="s">
        <v>128</v>
      </c>
      <c r="D75" s="595"/>
      <c r="E75" s="596"/>
      <c r="F75" s="596"/>
      <c r="G75" s="596"/>
      <c r="H75" s="596"/>
      <c r="I75" s="596"/>
      <c r="J75" s="596"/>
      <c r="K75" s="605"/>
    </row>
    <row r="76" spans="1:11" s="2" customFormat="1">
      <c r="A76" s="3">
        <v>24</v>
      </c>
      <c r="B76" s="518" t="s">
        <v>243</v>
      </c>
      <c r="C76" s="151" t="s">
        <v>128</v>
      </c>
      <c r="D76" s="595"/>
      <c r="E76" s="596"/>
      <c r="F76" s="596"/>
      <c r="G76" s="596"/>
      <c r="H76" s="596"/>
      <c r="I76" s="596"/>
      <c r="J76" s="596"/>
      <c r="K76" s="605"/>
    </row>
    <row r="77" spans="1:11" s="2" customFormat="1">
      <c r="A77" s="3">
        <v>25</v>
      </c>
      <c r="B77" s="518" t="s">
        <v>243</v>
      </c>
      <c r="C77" s="151" t="s">
        <v>128</v>
      </c>
      <c r="D77" s="631"/>
      <c r="E77" s="632"/>
      <c r="F77" s="632"/>
      <c r="G77" s="632"/>
      <c r="H77" s="632"/>
      <c r="I77" s="632"/>
      <c r="J77" s="632"/>
      <c r="K77" s="633"/>
    </row>
    <row r="78" spans="1:11" s="2" customFormat="1">
      <c r="B78" s="12" t="s">
        <v>171</v>
      </c>
      <c r="C78" s="151" t="s">
        <v>128</v>
      </c>
      <c r="D78" s="609">
        <f>SUM(D53:D77)</f>
        <v>81.554600000000008</v>
      </c>
      <c r="E78" s="610">
        <f t="shared" ref="E78:K78" si="6">SUM(E53:E77)</f>
        <v>124.83246548531659</v>
      </c>
      <c r="F78" s="610">
        <f t="shared" si="6"/>
        <v>47.804101093044814</v>
      </c>
      <c r="G78" s="610">
        <f t="shared" si="6"/>
        <v>92.836471140359706</v>
      </c>
      <c r="H78" s="610">
        <f t="shared" si="6"/>
        <v>104.4643069841722</v>
      </c>
      <c r="I78" s="610">
        <f t="shared" si="6"/>
        <v>0</v>
      </c>
      <c r="J78" s="610">
        <f t="shared" si="6"/>
        <v>0</v>
      </c>
      <c r="K78" s="611">
        <f t="shared" si="6"/>
        <v>0</v>
      </c>
    </row>
    <row r="79" spans="1:11" s="2" customFormat="1">
      <c r="C79" s="135"/>
      <c r="D79" s="53"/>
      <c r="E79" s="52"/>
      <c r="F79" s="52"/>
      <c r="G79" s="52"/>
      <c r="H79" s="52"/>
      <c r="I79" s="52"/>
      <c r="J79" s="52"/>
      <c r="K79" s="52"/>
    </row>
    <row r="80" spans="1:11" s="2" customFormat="1">
      <c r="B80" s="12" t="s">
        <v>402</v>
      </c>
      <c r="C80" s="151" t="s">
        <v>128</v>
      </c>
      <c r="D80" s="609">
        <f>D48-D78</f>
        <v>223.10355203652989</v>
      </c>
      <c r="E80" s="610">
        <f t="shared" ref="E80:K80" si="7">E48-E78</f>
        <v>261.04764060165826</v>
      </c>
      <c r="F80" s="610">
        <f t="shared" si="7"/>
        <v>233.62541393679376</v>
      </c>
      <c r="G80" s="610">
        <f t="shared" si="7"/>
        <v>222.06770461524587</v>
      </c>
      <c r="H80" s="610">
        <f t="shared" si="7"/>
        <v>242.66130243243049</v>
      </c>
      <c r="I80" s="610">
        <f t="shared" si="7"/>
        <v>0</v>
      </c>
      <c r="J80" s="610">
        <f t="shared" si="7"/>
        <v>0</v>
      </c>
      <c r="K80" s="611">
        <f t="shared" si="7"/>
        <v>0</v>
      </c>
    </row>
    <row r="81" spans="2:11" s="2" customFormat="1">
      <c r="B81" s="12" t="s">
        <v>490</v>
      </c>
      <c r="C81" s="151" t="s">
        <v>128</v>
      </c>
      <c r="D81" s="643">
        <f>'R4 - Totex'!D90+'R4 - Totex'!D118</f>
        <v>223.13980000000001</v>
      </c>
      <c r="E81" s="644">
        <f>'R4 - Totex'!E90+'R4 - Totex'!E118</f>
        <v>261.05695517544336</v>
      </c>
      <c r="F81" s="644">
        <f>'R4 - Totex'!F90+'R4 - Totex'!F118</f>
        <v>233.59972181202676</v>
      </c>
      <c r="G81" s="644">
        <f>'R4 - Totex'!G90+'R4 - Totex'!G118</f>
        <v>222.07291185999995</v>
      </c>
      <c r="H81" s="644">
        <f>'R4 - Totex'!H90+'R4 - Totex'!H118</f>
        <v>242.66102057520052</v>
      </c>
      <c r="I81" s="644">
        <f>'R4 - Totex'!I90+'R4 - Totex'!I118</f>
        <v>232.87744716989047</v>
      </c>
      <c r="J81" s="644">
        <f>'R4 - Totex'!J90+'R4 - Totex'!J118</f>
        <v>259.78936278237211</v>
      </c>
      <c r="K81" s="644">
        <f>'R4 - Totex'!K90+'R4 - Totex'!K118</f>
        <v>269.41898332296796</v>
      </c>
    </row>
    <row r="82" spans="2:11" s="2" customFormat="1">
      <c r="C82" s="135" t="s">
        <v>403</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N/A</v>
      </c>
      <c r="J82" s="571" t="str">
        <f>IF(J$5="Actuals",IF(ABS(J80-('R4 - Totex'!J90+'R4 - Totex'!J118))&lt;'RFPR cover'!$F$14,"OK","Error"),"N/A")</f>
        <v>N/A</v>
      </c>
      <c r="K82" s="571" t="str">
        <f>IF(K$5="Actuals",IF(ABS(K80-('R4 - Totex'!K90+'R4 - Totex'!K118))&lt;'RFPR cover'!$F$14,"OK","Error"),"N/A")</f>
        <v>N/A</v>
      </c>
    </row>
    <row r="83" spans="2:11" s="2" customFormat="1">
      <c r="C83" s="135"/>
    </row>
    <row r="84" spans="2:11">
      <c r="D84" s="214"/>
      <c r="E84" s="214"/>
      <c r="F84" s="214"/>
      <c r="G84" s="214"/>
      <c r="H84" s="214"/>
      <c r="I84" s="214"/>
      <c r="J84" s="214"/>
      <c r="K84" s="214"/>
    </row>
    <row r="85" spans="2:11">
      <c r="D85" s="214"/>
      <c r="E85" s="214"/>
      <c r="F85" s="214"/>
      <c r="G85" s="214"/>
      <c r="H85" s="214"/>
      <c r="I85" s="214"/>
      <c r="J85" s="214"/>
      <c r="K85" s="214"/>
    </row>
    <row r="86" spans="2:11">
      <c r="D86" s="214"/>
      <c r="E86" s="214"/>
      <c r="F86" s="214"/>
      <c r="G86" s="214"/>
      <c r="H86" s="214"/>
      <c r="I86" s="214"/>
      <c r="J86" s="214"/>
      <c r="K86" s="214"/>
    </row>
  </sheetData>
  <conditionalFormatting sqref="D6:J6">
    <cfRule type="expression" dxfId="64" priority="22">
      <formula>AND(D$5="Actuals",E$5="N/A")</formula>
    </cfRule>
  </conditionalFormatting>
  <conditionalFormatting sqref="D5:K5">
    <cfRule type="expression" dxfId="63" priority="13">
      <formula>AND(D$5="Actuals",E$5="N/A")</formula>
    </cfRule>
  </conditionalFormatting>
  <conditionalFormatting sqref="D9:G14 D43:K46 D48:K50 D80:K80 D82:K82 D18:K18 D23:K23 D53:K78 I9:K14 D19:G19 I19:K19 D26:G42 I26:K42">
    <cfRule type="expression" dxfId="62" priority="8">
      <formula>D$5="N/A"</formula>
    </cfRule>
  </conditionalFormatting>
  <conditionalFormatting sqref="D15:K17">
    <cfRule type="expression" dxfId="61" priority="7">
      <formula>D$5="N/A"</formula>
    </cfRule>
  </conditionalFormatting>
  <conditionalFormatting sqref="D20:K22">
    <cfRule type="expression" dxfId="60" priority="6">
      <formula>D$5="N/A"</formula>
    </cfRule>
  </conditionalFormatting>
  <conditionalFormatting sqref="H9:H14">
    <cfRule type="expression" dxfId="59" priority="5">
      <formula>H$5="N/A"</formula>
    </cfRule>
  </conditionalFormatting>
  <conditionalFormatting sqref="H19">
    <cfRule type="expression" dxfId="58" priority="4">
      <formula>H$5="N/A"</formula>
    </cfRule>
  </conditionalFormatting>
  <conditionalFormatting sqref="H26:H42">
    <cfRule type="expression" dxfId="57" priority="1">
      <formula>H$5="N/A"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70" zoomScaleNormal="70" workbookViewId="0">
      <pane ySplit="6" topLeftCell="A7" activePane="bottomLeft" state="frozen"/>
      <selection activeCell="B75" sqref="A1:XFD1048576"/>
      <selection pane="bottomLeft" activeCell="H6" sqref="H6"/>
    </sheetView>
  </sheetViews>
  <sheetFormatPr defaultColWidth="9.08984375" defaultRowHeight="12.6"/>
  <cols>
    <col min="1" max="1" width="8.36328125" style="2" customWidth="1"/>
    <col min="2" max="2" width="75.453125" style="128" customWidth="1"/>
    <col min="3" max="3" width="13.36328125" style="135" customWidth="1"/>
    <col min="4" max="11" width="11.08984375" style="2" customWidth="1"/>
    <col min="12" max="13" width="12.90625" style="2" customWidth="1"/>
    <col min="14" max="14" width="25.453125" style="2" customWidth="1"/>
    <col min="15" max="16384" width="9.08984375" style="2"/>
  </cols>
  <sheetData>
    <row r="1" spans="1:20" s="31" customFormat="1" ht="21">
      <c r="A1" s="906" t="s">
        <v>99</v>
      </c>
      <c r="B1" s="928"/>
      <c r="C1" s="277"/>
      <c r="D1" s="255"/>
      <c r="E1" s="255"/>
      <c r="F1" s="255"/>
      <c r="G1" s="255"/>
      <c r="H1" s="255"/>
      <c r="I1" s="256"/>
      <c r="J1" s="256"/>
      <c r="K1" s="257"/>
      <c r="L1" s="257"/>
      <c r="M1" s="257"/>
      <c r="N1" s="257"/>
      <c r="O1" s="362"/>
    </row>
    <row r="2" spans="1:20" s="31" customFormat="1" ht="21">
      <c r="A2" s="909" t="str">
        <f>'RFPR cover'!C5</f>
        <v>WPD-SWEST</v>
      </c>
      <c r="B2" s="922"/>
      <c r="C2" s="133"/>
      <c r="D2" s="29"/>
      <c r="E2" s="29"/>
      <c r="F2" s="29"/>
      <c r="G2" s="29"/>
      <c r="H2" s="29"/>
      <c r="I2" s="27"/>
      <c r="J2" s="27"/>
      <c r="K2" s="27"/>
      <c r="L2" s="27"/>
      <c r="M2" s="27"/>
      <c r="N2" s="27"/>
      <c r="O2" s="122"/>
    </row>
    <row r="3" spans="1:20" s="31" customFormat="1" ht="21">
      <c r="A3" s="912">
        <f>'RFPR cover'!C7</f>
        <v>2020</v>
      </c>
      <c r="B3" s="923"/>
      <c r="C3" s="276"/>
      <c r="D3" s="259"/>
      <c r="E3" s="259"/>
      <c r="F3" s="259"/>
      <c r="G3" s="259"/>
      <c r="H3" s="259"/>
      <c r="I3" s="254"/>
      <c r="J3" s="254"/>
      <c r="K3" s="254"/>
      <c r="L3" s="254"/>
      <c r="M3" s="254"/>
      <c r="N3" s="254"/>
      <c r="O3" s="260"/>
    </row>
    <row r="4" spans="1:20" ht="12.75" customHeight="1"/>
    <row r="5" spans="1:20" ht="12.75" customHeight="1">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row>
    <row r="6" spans="1:20" ht="27.75" customHeight="1">
      <c r="B6" s="772"/>
      <c r="D6" s="116">
        <f>'RFPR cover'!$C$13</f>
        <v>2016</v>
      </c>
      <c r="E6" s="117">
        <f>D6+1</f>
        <v>2017</v>
      </c>
      <c r="F6" s="117">
        <f t="shared" ref="F6:K6" si="0">E6+1</f>
        <v>2018</v>
      </c>
      <c r="G6" s="117">
        <f t="shared" si="0"/>
        <v>2019</v>
      </c>
      <c r="H6" s="117">
        <f t="shared" si="0"/>
        <v>2020</v>
      </c>
      <c r="I6" s="117">
        <f t="shared" si="0"/>
        <v>2021</v>
      </c>
      <c r="J6" s="117">
        <f t="shared" si="0"/>
        <v>2022</v>
      </c>
      <c r="K6" s="117">
        <f t="shared" si="0"/>
        <v>2023</v>
      </c>
      <c r="L6" s="100" t="str">
        <f>"Cumulative to "&amp;'RFPR cover'!$C$7</f>
        <v>Cumulative to 2020</v>
      </c>
      <c r="M6" s="118" t="s">
        <v>109</v>
      </c>
      <c r="N6" s="118" t="s">
        <v>311</v>
      </c>
    </row>
    <row r="7" spans="1:20" s="35" customFormat="1">
      <c r="B7" s="773"/>
      <c r="C7" s="157"/>
      <c r="D7" s="58"/>
      <c r="E7" s="58"/>
      <c r="F7" s="58"/>
      <c r="G7" s="58"/>
      <c r="H7" s="58"/>
      <c r="I7" s="58"/>
      <c r="J7" s="58"/>
      <c r="K7" s="58"/>
      <c r="L7" s="58"/>
      <c r="M7" s="58"/>
      <c r="N7" s="58"/>
    </row>
    <row r="8" spans="1:20" s="35" customFormat="1">
      <c r="B8" s="774" t="s">
        <v>390</v>
      </c>
      <c r="C8" s="290"/>
      <c r="D8" s="320"/>
      <c r="E8" s="320"/>
      <c r="F8" s="320"/>
      <c r="G8" s="320"/>
      <c r="H8" s="320"/>
      <c r="I8" s="320"/>
      <c r="J8" s="320"/>
      <c r="K8" s="320"/>
      <c r="L8" s="320"/>
      <c r="M8" s="320"/>
      <c r="N8" s="320"/>
    </row>
    <row r="9" spans="1:20" s="35" customFormat="1">
      <c r="B9" s="773"/>
      <c r="C9" s="157"/>
      <c r="D9" s="58"/>
      <c r="E9" s="58"/>
      <c r="F9" s="58"/>
      <c r="G9" s="58"/>
      <c r="H9" s="58"/>
      <c r="I9" s="58"/>
      <c r="J9" s="58"/>
      <c r="K9" s="58"/>
      <c r="L9" s="58"/>
      <c r="M9" s="58"/>
      <c r="N9" s="58"/>
    </row>
    <row r="10" spans="1:20">
      <c r="A10" s="35"/>
      <c r="B10" s="775" t="str">
        <f>Data!B48</f>
        <v>Totex</v>
      </c>
      <c r="C10" s="149"/>
      <c r="D10" s="82"/>
      <c r="E10" s="82"/>
      <c r="F10" s="82"/>
      <c r="G10" s="82"/>
      <c r="H10" s="82"/>
      <c r="I10" s="82"/>
      <c r="J10" s="82"/>
      <c r="K10" s="82"/>
      <c r="L10" s="82"/>
      <c r="M10" s="82"/>
      <c r="N10" s="82"/>
    </row>
    <row r="11" spans="1:20" s="35" customFormat="1">
      <c r="B11" s="776"/>
      <c r="C11" s="137"/>
      <c r="D11" s="319"/>
      <c r="E11" s="319"/>
      <c r="F11" s="319"/>
      <c r="G11" s="319"/>
      <c r="H11" s="319"/>
      <c r="I11" s="319"/>
      <c r="J11" s="319"/>
      <c r="K11" s="319"/>
      <c r="L11" s="319"/>
      <c r="M11" s="319"/>
      <c r="N11" s="319"/>
    </row>
    <row r="12" spans="1:20">
      <c r="A12" s="35"/>
      <c r="B12" s="304" t="s">
        <v>34</v>
      </c>
      <c r="C12" s="154" t="str">
        <f>'RFPR cover'!$C$14</f>
        <v>£m 12/13</v>
      </c>
      <c r="D12" s="481">
        <v>210.44636019704512</v>
      </c>
      <c r="E12" s="482">
        <v>241.04165600301744</v>
      </c>
      <c r="F12" s="482">
        <v>207.90959860883513</v>
      </c>
      <c r="G12" s="482">
        <v>191.79017080119689</v>
      </c>
      <c r="H12" s="953">
        <v>204.28253731132179</v>
      </c>
      <c r="I12" s="482">
        <v>192.76922544410996</v>
      </c>
      <c r="J12" s="482">
        <v>210.57148787516996</v>
      </c>
      <c r="K12" s="482">
        <v>212.89470912728996</v>
      </c>
      <c r="L12" s="106">
        <f>SUM(D12:INDEX(D12:K12,0,MATCH('RFPR cover'!$C$7,$D$6:$K$6,0)))</f>
        <v>1055.4703229214165</v>
      </c>
      <c r="M12" s="107">
        <f>SUM(D12:K12)</f>
        <v>1671.7057453679863</v>
      </c>
      <c r="N12" s="63"/>
      <c r="O12" s="63"/>
    </row>
    <row r="13" spans="1:20" ht="25.2">
      <c r="A13" s="35"/>
      <c r="B13" s="777" t="s">
        <v>502</v>
      </c>
      <c r="C13" s="154" t="str">
        <f>'RFPR cover'!$C$14</f>
        <v>£m 12/13</v>
      </c>
      <c r="D13" s="483">
        <v>214.67063708067678</v>
      </c>
      <c r="E13" s="484">
        <v>215.30321808555479</v>
      </c>
      <c r="F13" s="484">
        <v>211.3236296511833</v>
      </c>
      <c r="G13" s="484">
        <v>214.30205202796378</v>
      </c>
      <c r="H13" s="484">
        <v>210.66095291492763</v>
      </c>
      <c r="I13" s="484">
        <v>210.0047161211412</v>
      </c>
      <c r="J13" s="484">
        <v>209.8131760264047</v>
      </c>
      <c r="K13" s="484">
        <v>219.71952298508899</v>
      </c>
      <c r="L13" s="104">
        <f>SUM(D13:INDEX(D13:K13,0,MATCH('RFPR cover'!$C$7,$D$6:$K$6,0)))</f>
        <v>1066.2604897603064</v>
      </c>
      <c r="M13" s="105">
        <f>SUM(D13:K13)</f>
        <v>1705.7979048929415</v>
      </c>
      <c r="N13" s="63"/>
      <c r="O13" s="63"/>
    </row>
    <row r="14" spans="1:20">
      <c r="A14" s="35"/>
      <c r="B14" s="778" t="s">
        <v>195</v>
      </c>
      <c r="C14" s="154" t="str">
        <f>'RFPR cover'!$C$14</f>
        <v>£m 12/13</v>
      </c>
      <c r="D14" s="101">
        <f>D13-D12</f>
        <v>4.22427688363166</v>
      </c>
      <c r="E14" s="102">
        <f t="shared" ref="E14:M14" si="1">E13-E12</f>
        <v>-25.738437917462647</v>
      </c>
      <c r="F14" s="102">
        <f t="shared" si="1"/>
        <v>3.4140310423481708</v>
      </c>
      <c r="G14" s="102">
        <f t="shared" si="1"/>
        <v>22.511881226766889</v>
      </c>
      <c r="H14" s="102">
        <f t="shared" si="1"/>
        <v>6.3784156036058448</v>
      </c>
      <c r="I14" s="102">
        <f t="shared" si="1"/>
        <v>17.235490677031237</v>
      </c>
      <c r="J14" s="102">
        <f t="shared" si="1"/>
        <v>-0.75831184876525981</v>
      </c>
      <c r="K14" s="102">
        <f t="shared" si="1"/>
        <v>6.8248138577990289</v>
      </c>
      <c r="L14" s="101">
        <f t="shared" si="1"/>
        <v>10.790166838889945</v>
      </c>
      <c r="M14" s="103">
        <f t="shared" si="1"/>
        <v>34.09215952495515</v>
      </c>
      <c r="N14" s="63"/>
      <c r="O14" s="1011"/>
      <c r="P14" s="1011"/>
      <c r="Q14" s="1011"/>
      <c r="R14"/>
      <c r="S14"/>
      <c r="T14"/>
    </row>
    <row r="15" spans="1:20" ht="13.2">
      <c r="A15" s="35"/>
      <c r="B15" s="778"/>
      <c r="C15" s="154"/>
      <c r="D15" s="59"/>
      <c r="E15" s="59"/>
      <c r="F15" s="59"/>
      <c r="G15" s="59"/>
      <c r="H15" s="59"/>
      <c r="I15" s="59"/>
      <c r="J15" s="59"/>
      <c r="K15" s="59"/>
      <c r="L15" s="59"/>
      <c r="M15" s="59"/>
      <c r="O15" s="64"/>
      <c r="P15" s="64"/>
      <c r="Q15" s="64"/>
      <c r="R15"/>
      <c r="S15"/>
      <c r="T15"/>
    </row>
    <row r="16" spans="1:20">
      <c r="A16" s="35"/>
      <c r="B16" s="772" t="s">
        <v>178</v>
      </c>
      <c r="C16" s="135" t="s">
        <v>7</v>
      </c>
      <c r="D16" s="108">
        <f>1-INDEX(Data!$D$73:$D$100,MATCH('RFPR cover'!$C$5,Data!$B$73:$B$100,0),0)</f>
        <v>0.30000000000000004</v>
      </c>
      <c r="E16" s="109">
        <f>1-INDEX(Data!$D$73:$D$100,MATCH('RFPR cover'!$C$5,Data!$B$73:$B$100,0),0)</f>
        <v>0.30000000000000004</v>
      </c>
      <c r="F16" s="109">
        <f>1-INDEX(Data!$D$73:$D$100,MATCH('RFPR cover'!$C$5,Data!$B$73:$B$100,0),0)</f>
        <v>0.30000000000000004</v>
      </c>
      <c r="G16" s="109">
        <f>1-INDEX(Data!$D$73:$D$100,MATCH('RFPR cover'!$C$5,Data!$B$73:$B$100,0),0)</f>
        <v>0.30000000000000004</v>
      </c>
      <c r="H16" s="109">
        <f>1-INDEX(Data!$D$73:$D$100,MATCH('RFPR cover'!$C$5,Data!$B$73:$B$100,0),0)</f>
        <v>0.30000000000000004</v>
      </c>
      <c r="I16" s="109">
        <f>1-INDEX(Data!$D$73:$D$100,MATCH('RFPR cover'!$C$5,Data!$B$73:$B$100,0),0)</f>
        <v>0.30000000000000004</v>
      </c>
      <c r="J16" s="109">
        <f>1-INDEX(Data!$D$73:$D$100,MATCH('RFPR cover'!$C$5,Data!$B$73:$B$100,0),0)</f>
        <v>0.30000000000000004</v>
      </c>
      <c r="K16" s="110">
        <f>1-INDEX(Data!$D$73:$D$100,MATCH('RFPR cover'!$C$5,Data!$B$73:$B$100,0),0)</f>
        <v>0.30000000000000004</v>
      </c>
      <c r="L16" s="62"/>
      <c r="M16" s="62"/>
      <c r="O16"/>
      <c r="P16"/>
      <c r="Q16"/>
      <c r="R16"/>
      <c r="S16"/>
      <c r="T16"/>
    </row>
    <row r="17" spans="1:20">
      <c r="A17" s="35"/>
      <c r="B17" s="772"/>
      <c r="O17"/>
      <c r="P17"/>
      <c r="Q17"/>
      <c r="R17"/>
      <c r="S17"/>
      <c r="T17"/>
    </row>
    <row r="18" spans="1:20">
      <c r="A18" s="35"/>
      <c r="B18" s="779" t="s">
        <v>183</v>
      </c>
      <c r="C18" s="158" t="str">
        <f>'RFPR cover'!$C$14</f>
        <v>£m 12/13</v>
      </c>
      <c r="D18" s="94">
        <f>D14*D16</f>
        <v>1.2672830650894982</v>
      </c>
      <c r="E18" s="95">
        <f t="shared" ref="E18:K18" si="2">E14*E16</f>
        <v>-7.7215313752387953</v>
      </c>
      <c r="F18" s="95">
        <f t="shared" si="2"/>
        <v>1.0242093127044514</v>
      </c>
      <c r="G18" s="95">
        <f t="shared" si="2"/>
        <v>6.7535643680300677</v>
      </c>
      <c r="H18" s="95">
        <f t="shared" si="2"/>
        <v>1.9135246810817537</v>
      </c>
      <c r="I18" s="95">
        <f t="shared" si="2"/>
        <v>5.1706472031093718</v>
      </c>
      <c r="J18" s="95">
        <f t="shared" si="2"/>
        <v>-0.22749355462957799</v>
      </c>
      <c r="K18" s="95">
        <f t="shared" si="2"/>
        <v>2.0474441573397089</v>
      </c>
      <c r="L18" s="94">
        <f>SUM(D18:INDEX(D18:K18,0,MATCH('RFPR cover'!$C$7,$D$6:$K$6,0)))</f>
        <v>3.2370500516669756</v>
      </c>
      <c r="M18" s="96">
        <f>SUM(D18:K18)</f>
        <v>10.227647857486478</v>
      </c>
      <c r="O18"/>
      <c r="P18"/>
      <c r="Q18"/>
      <c r="R18"/>
      <c r="S18"/>
      <c r="T18"/>
    </row>
    <row r="19" spans="1:20">
      <c r="A19" s="35"/>
      <c r="B19" s="779" t="s">
        <v>280</v>
      </c>
      <c r="C19" s="158" t="str">
        <f>'RFPR cover'!$C$14</f>
        <v>£m 12/13</v>
      </c>
      <c r="D19" s="91">
        <f>D14*(1-D16)</f>
        <v>2.9569938185421618</v>
      </c>
      <c r="E19" s="92">
        <f t="shared" ref="E19:K19" si="3">E14*(1-E16)</f>
        <v>-18.01690654222385</v>
      </c>
      <c r="F19" s="92">
        <f t="shared" si="3"/>
        <v>2.3898217296437192</v>
      </c>
      <c r="G19" s="92">
        <f t="shared" si="3"/>
        <v>15.758316858736821</v>
      </c>
      <c r="H19" s="92">
        <f t="shared" si="3"/>
        <v>4.4648909225240914</v>
      </c>
      <c r="I19" s="92">
        <f t="shared" si="3"/>
        <v>12.064843473921865</v>
      </c>
      <c r="J19" s="92">
        <f t="shared" si="3"/>
        <v>-0.53081829413568182</v>
      </c>
      <c r="K19" s="92">
        <f t="shared" si="3"/>
        <v>4.7773697004593201</v>
      </c>
      <c r="L19" s="91">
        <f>SUM(D19:INDEX(D19:K19,0,MATCH('RFPR cover'!$C$7,$D$6:$K$6,0)))</f>
        <v>7.5531167872229439</v>
      </c>
      <c r="M19" s="93">
        <f>SUM(D19:K19)</f>
        <v>23.864511667468449</v>
      </c>
      <c r="O19"/>
      <c r="P19"/>
      <c r="Q19"/>
      <c r="R19"/>
      <c r="S19"/>
      <c r="T19"/>
    </row>
    <row r="20" spans="1:20">
      <c r="A20" s="35"/>
      <c r="B20" s="772"/>
      <c r="O20"/>
      <c r="P20"/>
      <c r="Q20"/>
      <c r="R20"/>
      <c r="S20"/>
      <c r="T20"/>
    </row>
    <row r="21" spans="1:20">
      <c r="A21" s="35"/>
      <c r="B21" s="780" t="s">
        <v>182</v>
      </c>
      <c r="N21" s="63"/>
      <c r="O21"/>
      <c r="P21"/>
      <c r="Q21"/>
      <c r="R21"/>
      <c r="S21"/>
      <c r="T21"/>
    </row>
    <row r="22" spans="1:20">
      <c r="A22" s="268" t="s">
        <v>151</v>
      </c>
      <c r="B22" s="770" t="s">
        <v>620</v>
      </c>
      <c r="C22" s="154" t="str">
        <f>'RFPR cover'!$C$14</f>
        <v>£m 12/13</v>
      </c>
      <c r="D22" s="581">
        <v>0</v>
      </c>
      <c r="E22" s="582">
        <v>14.716242447047392</v>
      </c>
      <c r="F22" s="582">
        <v>-13.702979070466785</v>
      </c>
      <c r="G22" s="582">
        <v>-0.46814049805900287</v>
      </c>
      <c r="H22" s="582">
        <v>0</v>
      </c>
      <c r="I22" s="582">
        <v>0</v>
      </c>
      <c r="J22" s="582">
        <v>0</v>
      </c>
      <c r="K22" s="582">
        <v>0</v>
      </c>
      <c r="L22" s="583">
        <f>SUM(D22:INDEX(D22:K22,0,MATCH('RFPR cover'!$C$7,$D$6:$K$6,0)))</f>
        <v>0.54512287852160402</v>
      </c>
      <c r="M22" s="584">
        <f t="shared" ref="M22:M27" si="4">SUM(D22:K22)</f>
        <v>0.54512287852160402</v>
      </c>
      <c r="N22" s="572" t="s">
        <v>628</v>
      </c>
      <c r="O22"/>
      <c r="P22"/>
      <c r="Q22"/>
      <c r="R22"/>
      <c r="S22"/>
      <c r="T22"/>
    </row>
    <row r="23" spans="1:20">
      <c r="A23" s="268" t="s">
        <v>152</v>
      </c>
      <c r="B23" s="770" t="s">
        <v>621</v>
      </c>
      <c r="C23" s="154" t="str">
        <f>'RFPR cover'!$C$14</f>
        <v>£m 12/13</v>
      </c>
      <c r="D23" s="585">
        <v>0</v>
      </c>
      <c r="E23" s="586">
        <v>0</v>
      </c>
      <c r="F23" s="586">
        <v>-8.7508843455148817</v>
      </c>
      <c r="G23" s="586">
        <v>3.2316541631445479</v>
      </c>
      <c r="H23" s="586">
        <v>3.2316541631445479</v>
      </c>
      <c r="I23" s="586">
        <v>3.0799999999999996</v>
      </c>
      <c r="J23" s="586">
        <v>2.2931761401242232</v>
      </c>
      <c r="K23" s="586">
        <v>-3.0856001208984365</v>
      </c>
      <c r="L23" s="587">
        <f>SUM(D23:INDEX(D23:K23,0,MATCH('RFPR cover'!$C$7,$D$6:$K$6,0)))</f>
        <v>-2.2875760192257864</v>
      </c>
      <c r="M23" s="588">
        <f t="shared" si="4"/>
        <v>0</v>
      </c>
      <c r="N23" s="573" t="s">
        <v>628</v>
      </c>
      <c r="O23"/>
      <c r="P23"/>
      <c r="Q23"/>
      <c r="R23"/>
      <c r="S23"/>
      <c r="T23"/>
    </row>
    <row r="24" spans="1:20">
      <c r="A24" s="268" t="s">
        <v>153</v>
      </c>
      <c r="B24" s="770" t="s">
        <v>635</v>
      </c>
      <c r="C24" s="154" t="str">
        <f>'RFPR cover'!$C$14</f>
        <v>£m 12/13</v>
      </c>
      <c r="D24" s="585">
        <v>0</v>
      </c>
      <c r="E24" s="586">
        <v>0</v>
      </c>
      <c r="F24" s="586">
        <v>0</v>
      </c>
      <c r="G24" s="586">
        <v>0</v>
      </c>
      <c r="H24" s="586">
        <v>-0.52122302198829484</v>
      </c>
      <c r="I24" s="586">
        <v>0.19903241158491847</v>
      </c>
      <c r="J24" s="586">
        <v>2.57439449587</v>
      </c>
      <c r="K24" s="586">
        <v>1.87767805184</v>
      </c>
      <c r="L24" s="587">
        <f>SUM(D24:INDEX(D24:K24,0,MATCH('RFPR cover'!$C$7,$D$6:$K$6,0)))</f>
        <v>-0.52122302198829484</v>
      </c>
      <c r="M24" s="588">
        <f t="shared" si="4"/>
        <v>4.1298819373066236</v>
      </c>
      <c r="N24" s="573" t="s">
        <v>628</v>
      </c>
      <c r="O24"/>
      <c r="P24"/>
      <c r="Q24"/>
      <c r="R24"/>
      <c r="S24" s="65"/>
      <c r="T24"/>
    </row>
    <row r="25" spans="1:20">
      <c r="A25" s="268" t="s">
        <v>168</v>
      </c>
      <c r="B25" s="770" t="s">
        <v>242</v>
      </c>
      <c r="C25" s="154" t="str">
        <f>'RFPR cover'!$C$14</f>
        <v>£m 12/13</v>
      </c>
      <c r="D25" s="585">
        <v>0</v>
      </c>
      <c r="E25" s="586">
        <v>0</v>
      </c>
      <c r="F25" s="586">
        <v>0</v>
      </c>
      <c r="G25" s="586">
        <v>0</v>
      </c>
      <c r="H25" s="586"/>
      <c r="I25" s="586"/>
      <c r="J25" s="586"/>
      <c r="K25" s="586"/>
      <c r="L25" s="587">
        <f>SUM(D25:INDEX(D25:K25,0,MATCH('RFPR cover'!$C$7,$D$6:$K$6,0)))</f>
        <v>0</v>
      </c>
      <c r="M25" s="588">
        <f t="shared" si="4"/>
        <v>0</v>
      </c>
      <c r="N25" s="573"/>
      <c r="O25"/>
      <c r="P25"/>
      <c r="Q25"/>
      <c r="R25"/>
      <c r="S25"/>
      <c r="T25"/>
    </row>
    <row r="26" spans="1:20">
      <c r="A26" s="268" t="s">
        <v>169</v>
      </c>
      <c r="B26" s="770" t="s">
        <v>242</v>
      </c>
      <c r="C26" s="154" t="str">
        <f>'RFPR cover'!$C$14</f>
        <v>£m 12/13</v>
      </c>
      <c r="D26" s="585">
        <v>0</v>
      </c>
      <c r="E26" s="586">
        <v>0</v>
      </c>
      <c r="F26" s="586">
        <v>0</v>
      </c>
      <c r="G26" s="586">
        <v>0</v>
      </c>
      <c r="H26" s="586"/>
      <c r="I26" s="586"/>
      <c r="J26" s="586"/>
      <c r="K26" s="586"/>
      <c r="L26" s="587">
        <f>SUM(D26:INDEX(D26:K26,0,MATCH('RFPR cover'!$C$7,$D$6:$K$6,0)))</f>
        <v>0</v>
      </c>
      <c r="M26" s="588">
        <f t="shared" si="4"/>
        <v>0</v>
      </c>
      <c r="N26" s="573"/>
      <c r="O26"/>
      <c r="P26"/>
      <c r="Q26"/>
      <c r="R26"/>
      <c r="S26"/>
      <c r="T26"/>
    </row>
    <row r="27" spans="1:20">
      <c r="A27" s="268" t="s">
        <v>170</v>
      </c>
      <c r="B27" s="770" t="s">
        <v>242</v>
      </c>
      <c r="C27" s="154" t="str">
        <f>'RFPR cover'!$C$14</f>
        <v>£m 12/13</v>
      </c>
      <c r="D27" s="589">
        <v>0</v>
      </c>
      <c r="E27" s="590">
        <v>0</v>
      </c>
      <c r="F27" s="590">
        <v>0</v>
      </c>
      <c r="G27" s="590">
        <v>0</v>
      </c>
      <c r="H27" s="590"/>
      <c r="I27" s="590"/>
      <c r="J27" s="590"/>
      <c r="K27" s="590"/>
      <c r="L27" s="591">
        <f>SUM(D27:INDEX(D27:K27,0,MATCH('RFPR cover'!$C$7,$D$6:$K$6,0)))</f>
        <v>0</v>
      </c>
      <c r="M27" s="592">
        <f t="shared" si="4"/>
        <v>0</v>
      </c>
      <c r="N27" s="574"/>
      <c r="O27"/>
      <c r="P27"/>
      <c r="Q27"/>
      <c r="R27"/>
      <c r="S27"/>
      <c r="T27"/>
    </row>
    <row r="28" spans="1:20">
      <c r="A28" s="35"/>
      <c r="B28" s="780" t="s">
        <v>190</v>
      </c>
      <c r="C28" s="154" t="str">
        <f>'RFPR cover'!$C$14</f>
        <v>£m 12/13</v>
      </c>
      <c r="D28" s="101">
        <f>SUM(D22:D27)</f>
        <v>0</v>
      </c>
      <c r="E28" s="102">
        <f t="shared" ref="E28:K28" si="5">SUM(E22:E27)</f>
        <v>14.716242447047392</v>
      </c>
      <c r="F28" s="102">
        <f t="shared" si="5"/>
        <v>-22.453863415981665</v>
      </c>
      <c r="G28" s="102">
        <f t="shared" si="5"/>
        <v>2.763513665085545</v>
      </c>
      <c r="H28" s="102">
        <f t="shared" si="5"/>
        <v>2.7104311411562532</v>
      </c>
      <c r="I28" s="102">
        <f t="shared" si="5"/>
        <v>3.2790324115849181</v>
      </c>
      <c r="J28" s="102">
        <f t="shared" si="5"/>
        <v>4.8675706359942232</v>
      </c>
      <c r="K28" s="102">
        <f t="shared" si="5"/>
        <v>-1.2079220690584365</v>
      </c>
      <c r="L28" s="101">
        <f>SUM(D28:INDEX(D28:K28,0,MATCH('RFPR cover'!$C$7,$D$6:$K$6,0)))</f>
        <v>-2.2636761626924744</v>
      </c>
      <c r="M28" s="103">
        <f>SUM(D28:K28)</f>
        <v>4.6750048158282302</v>
      </c>
      <c r="N28" s="63"/>
    </row>
    <row r="29" spans="1:20">
      <c r="A29" s="35"/>
      <c r="B29" s="772"/>
    </row>
    <row r="30" spans="1:20">
      <c r="A30" s="35"/>
      <c r="B30" s="779" t="s">
        <v>198</v>
      </c>
      <c r="C30" s="158" t="str">
        <f>'RFPR cover'!$C$14</f>
        <v>£m 12/13</v>
      </c>
      <c r="D30" s="94">
        <f t="shared" ref="D30:K30" si="6">D28*D16</f>
        <v>0</v>
      </c>
      <c r="E30" s="95">
        <f t="shared" si="6"/>
        <v>4.4148727341142182</v>
      </c>
      <c r="F30" s="95">
        <f t="shared" si="6"/>
        <v>-6.7361590247945005</v>
      </c>
      <c r="G30" s="95">
        <f t="shared" si="6"/>
        <v>0.82905409952566367</v>
      </c>
      <c r="H30" s="95">
        <f t="shared" si="6"/>
        <v>0.81312934234687606</v>
      </c>
      <c r="I30" s="95">
        <f t="shared" si="6"/>
        <v>0.98370972347547558</v>
      </c>
      <c r="J30" s="95">
        <f t="shared" si="6"/>
        <v>1.4602711907982673</v>
      </c>
      <c r="K30" s="95">
        <f t="shared" si="6"/>
        <v>-0.36237662071753102</v>
      </c>
      <c r="L30" s="94">
        <f>SUM(D30:INDEX(D30:K30,0,MATCH('RFPR cover'!$C$7,$D$6:$K$6,0)))</f>
        <v>-0.67910284880774252</v>
      </c>
      <c r="M30" s="96">
        <f>SUM(D30:K30)</f>
        <v>1.4025014447484694</v>
      </c>
    </row>
    <row r="31" spans="1:20">
      <c r="A31" s="35"/>
      <c r="B31" s="779" t="s">
        <v>309</v>
      </c>
      <c r="C31" s="158" t="str">
        <f>'RFPR cover'!$C$14</f>
        <v>£m 12/13</v>
      </c>
      <c r="D31" s="91">
        <f t="shared" ref="D31:K31" si="7">D28*(1-D16)</f>
        <v>0</v>
      </c>
      <c r="E31" s="92">
        <f t="shared" si="7"/>
        <v>10.301369712933173</v>
      </c>
      <c r="F31" s="92">
        <f t="shared" si="7"/>
        <v>-15.717704391187164</v>
      </c>
      <c r="G31" s="92">
        <f t="shared" si="7"/>
        <v>1.9344595655598813</v>
      </c>
      <c r="H31" s="92">
        <f t="shared" si="7"/>
        <v>1.897301798809377</v>
      </c>
      <c r="I31" s="92">
        <f t="shared" si="7"/>
        <v>2.2953226881094424</v>
      </c>
      <c r="J31" s="92">
        <f t="shared" si="7"/>
        <v>3.4072994451959562</v>
      </c>
      <c r="K31" s="92">
        <f t="shared" si="7"/>
        <v>-0.8455454483409055</v>
      </c>
      <c r="L31" s="91">
        <f>SUM(D31:INDEX(D31:K31,0,MATCH('RFPR cover'!$C$7,$D$6:$K$6,0)))</f>
        <v>-1.5845733138847327</v>
      </c>
      <c r="M31" s="93">
        <f>SUM(D31:K31)</f>
        <v>3.2725033710797611</v>
      </c>
    </row>
    <row r="32" spans="1:20">
      <c r="A32" s="35"/>
      <c r="B32" s="772"/>
    </row>
    <row r="33" spans="1:20">
      <c r="A33" s="35"/>
      <c r="B33" s="780" t="s">
        <v>181</v>
      </c>
    </row>
    <row r="34" spans="1:20">
      <c r="A34" s="35"/>
      <c r="B34" s="772" t="s">
        <v>180</v>
      </c>
      <c r="C34" s="154" t="str">
        <f>'RFPR cover'!$C$14</f>
        <v>£m 12/13</v>
      </c>
      <c r="D34" s="94">
        <f>D18+D30</f>
        <v>1.2672830650894982</v>
      </c>
      <c r="E34" s="95">
        <f t="shared" ref="E34:K34" si="8">E18+E30</f>
        <v>-3.3066586411245771</v>
      </c>
      <c r="F34" s="95">
        <f t="shared" si="8"/>
        <v>-5.7119497120900489</v>
      </c>
      <c r="G34" s="95">
        <f t="shared" si="8"/>
        <v>7.5826184675557311</v>
      </c>
      <c r="H34" s="95">
        <f t="shared" si="8"/>
        <v>2.7266540234286296</v>
      </c>
      <c r="I34" s="95">
        <f t="shared" si="8"/>
        <v>6.154356926584847</v>
      </c>
      <c r="J34" s="95">
        <f t="shared" si="8"/>
        <v>1.2327776361686893</v>
      </c>
      <c r="K34" s="95">
        <f t="shared" si="8"/>
        <v>1.6850675366221779</v>
      </c>
      <c r="L34" s="94">
        <f>SUM(D34:INDEX(D34:K34,0,MATCH('RFPR cover'!$C$7,$D$6:$K$6,0)))</f>
        <v>2.5579472028592329</v>
      </c>
      <c r="M34" s="96">
        <f>SUM(D34:K34)</f>
        <v>11.630149302234948</v>
      </c>
    </row>
    <row r="35" spans="1:20">
      <c r="A35" s="35"/>
      <c r="B35" s="772" t="s">
        <v>280</v>
      </c>
      <c r="C35" s="154" t="str">
        <f>'RFPR cover'!$C$14</f>
        <v>£m 12/13</v>
      </c>
      <c r="D35" s="97">
        <f>D19+D31</f>
        <v>2.9569938185421618</v>
      </c>
      <c r="E35" s="98">
        <f t="shared" ref="E35:K35" si="9">E19+E31</f>
        <v>-7.7155368292906772</v>
      </c>
      <c r="F35" s="98">
        <f t="shared" si="9"/>
        <v>-13.327882661543445</v>
      </c>
      <c r="G35" s="98">
        <f t="shared" si="9"/>
        <v>17.692776424296703</v>
      </c>
      <c r="H35" s="98">
        <f t="shared" si="9"/>
        <v>6.3621927213334679</v>
      </c>
      <c r="I35" s="98">
        <f t="shared" si="9"/>
        <v>14.360166162031307</v>
      </c>
      <c r="J35" s="98">
        <f t="shared" si="9"/>
        <v>2.8764811510602746</v>
      </c>
      <c r="K35" s="98">
        <f t="shared" si="9"/>
        <v>3.9318242521184148</v>
      </c>
      <c r="L35" s="97">
        <f>SUM(D35:INDEX(D35:K35,0,MATCH('RFPR cover'!$C$7,$D$6:$K$6,0)))</f>
        <v>5.9685434733382117</v>
      </c>
      <c r="M35" s="99">
        <f>SUM(D35:K35)</f>
        <v>27.13701503854821</v>
      </c>
    </row>
    <row r="36" spans="1:20">
      <c r="A36" s="35"/>
      <c r="B36" s="780" t="s">
        <v>11</v>
      </c>
      <c r="C36" s="155" t="str">
        <f>'RFPR cover'!$C$14</f>
        <v>£m 12/13</v>
      </c>
      <c r="D36" s="138">
        <f>SUM(D34:D35)</f>
        <v>4.22427688363166</v>
      </c>
      <c r="E36" s="139">
        <f t="shared" ref="E36:K36" si="10">SUM(E34:E35)</f>
        <v>-11.022195470415255</v>
      </c>
      <c r="F36" s="139">
        <f t="shared" si="10"/>
        <v>-19.039832373633494</v>
      </c>
      <c r="G36" s="139">
        <f t="shared" si="10"/>
        <v>25.275394891852436</v>
      </c>
      <c r="H36" s="139">
        <f t="shared" si="10"/>
        <v>9.0888467447620975</v>
      </c>
      <c r="I36" s="139">
        <f t="shared" si="10"/>
        <v>20.514523088616155</v>
      </c>
      <c r="J36" s="139">
        <f t="shared" si="10"/>
        <v>4.1092587872289634</v>
      </c>
      <c r="K36" s="139">
        <f t="shared" si="10"/>
        <v>5.6168917887405927</v>
      </c>
      <c r="L36" s="138">
        <f>SUM(D36:INDEX(D36:K36,0,MATCH('RFPR cover'!$C$7,$D$6:$K$6,0)))</f>
        <v>8.5264906761974437</v>
      </c>
      <c r="M36" s="140">
        <f>SUM(D36:K36)</f>
        <v>38.767164340783161</v>
      </c>
    </row>
    <row r="37" spans="1:20">
      <c r="A37" s="35"/>
      <c r="B37" s="772"/>
    </row>
    <row r="38" spans="1:20">
      <c r="A38" s="35"/>
      <c r="B38" s="775" t="str">
        <f>Data!B51</f>
        <v>n/a</v>
      </c>
      <c r="C38" s="149"/>
      <c r="D38" s="82"/>
      <c r="E38" s="82"/>
      <c r="F38" s="82"/>
      <c r="G38" s="82"/>
      <c r="H38" s="82"/>
      <c r="I38" s="82"/>
      <c r="J38" s="82"/>
      <c r="K38" s="82"/>
      <c r="L38" s="82"/>
      <c r="M38" s="82"/>
      <c r="N38" s="82"/>
    </row>
    <row r="39" spans="1:20" s="35" customFormat="1">
      <c r="B39" s="773"/>
      <c r="C39" s="137"/>
      <c r="D39" s="319"/>
      <c r="E39" s="319"/>
      <c r="F39" s="319"/>
      <c r="G39" s="319"/>
      <c r="H39" s="319"/>
      <c r="I39" s="319"/>
      <c r="J39" s="319"/>
      <c r="K39" s="319"/>
      <c r="L39" s="319"/>
      <c r="M39" s="319"/>
      <c r="N39" s="319"/>
    </row>
    <row r="40" spans="1:20">
      <c r="A40" s="35"/>
      <c r="B40" s="304" t="s">
        <v>34</v>
      </c>
      <c r="C40" s="154" t="str">
        <f>'RFPR cover'!$C$14</f>
        <v>£m 12/13</v>
      </c>
      <c r="D40" s="648"/>
      <c r="E40" s="649"/>
      <c r="F40" s="649"/>
      <c r="G40" s="649"/>
      <c r="H40" s="649"/>
      <c r="I40" s="649"/>
      <c r="J40" s="649"/>
      <c r="K40" s="649"/>
      <c r="L40" s="650">
        <f>SUM(D40:INDEX(D40:K40,0,MATCH('RFPR cover'!$C$7,$D$6:$K$6,0)))</f>
        <v>0</v>
      </c>
      <c r="M40" s="651">
        <f>SUM(D40:K40)</f>
        <v>0</v>
      </c>
      <c r="N40" s="351"/>
      <c r="O40" s="63"/>
    </row>
    <row r="41" spans="1:20" ht="25.2">
      <c r="A41" s="35"/>
      <c r="B41" s="777" t="s">
        <v>502</v>
      </c>
      <c r="C41" s="154" t="str">
        <f>'RFPR cover'!$C$14</f>
        <v>£m 12/13</v>
      </c>
      <c r="D41" s="652"/>
      <c r="E41" s="653"/>
      <c r="F41" s="653"/>
      <c r="G41" s="653"/>
      <c r="H41" s="653"/>
      <c r="I41" s="653"/>
      <c r="J41" s="653"/>
      <c r="K41" s="653"/>
      <c r="L41" s="654">
        <f>SUM(D41:INDEX(D41:K41,0,MATCH('RFPR cover'!$C$7,$D$6:$K$6,0)))</f>
        <v>0</v>
      </c>
      <c r="M41" s="655">
        <f>SUM(D41:K41)</f>
        <v>0</v>
      </c>
      <c r="N41" s="351"/>
      <c r="O41" s="63"/>
    </row>
    <row r="42" spans="1:20">
      <c r="A42" s="35"/>
      <c r="B42" s="778" t="s">
        <v>195</v>
      </c>
      <c r="C42" s="154" t="str">
        <f>'RFPR cover'!$C$14</f>
        <v>£m 12/13</v>
      </c>
      <c r="D42" s="101">
        <f>D41-D40</f>
        <v>0</v>
      </c>
      <c r="E42" s="102">
        <f t="shared" ref="E42:M42" si="11">E41-E40</f>
        <v>0</v>
      </c>
      <c r="F42" s="102">
        <f t="shared" si="11"/>
        <v>0</v>
      </c>
      <c r="G42" s="102">
        <f t="shared" si="11"/>
        <v>0</v>
      </c>
      <c r="H42" s="102">
        <f t="shared" si="11"/>
        <v>0</v>
      </c>
      <c r="I42" s="102">
        <f t="shared" si="11"/>
        <v>0</v>
      </c>
      <c r="J42" s="102">
        <f t="shared" si="11"/>
        <v>0</v>
      </c>
      <c r="K42" s="102">
        <f t="shared" si="11"/>
        <v>0</v>
      </c>
      <c r="L42" s="354">
        <f t="shared" si="11"/>
        <v>0</v>
      </c>
      <c r="M42" s="355">
        <f t="shared" si="11"/>
        <v>0</v>
      </c>
      <c r="N42" s="352"/>
      <c r="O42" s="1011"/>
      <c r="P42" s="1011"/>
      <c r="Q42" s="1011"/>
      <c r="R42"/>
      <c r="S42"/>
      <c r="T42"/>
    </row>
    <row r="43" spans="1:20" ht="13.2">
      <c r="A43" s="35"/>
      <c r="B43" s="778"/>
      <c r="C43" s="154"/>
      <c r="D43" s="59"/>
      <c r="E43" s="59"/>
      <c r="F43" s="59"/>
      <c r="G43" s="59"/>
      <c r="H43" s="59"/>
      <c r="I43" s="59"/>
      <c r="J43" s="59"/>
      <c r="K43" s="59"/>
      <c r="L43" s="59"/>
      <c r="M43" s="59"/>
      <c r="N43" s="348"/>
      <c r="O43" s="64"/>
      <c r="P43" s="64"/>
      <c r="Q43" s="64"/>
      <c r="R43"/>
      <c r="S43"/>
      <c r="T43"/>
    </row>
    <row r="44" spans="1:20">
      <c r="A44" s="35"/>
      <c r="B44" s="772" t="s">
        <v>178</v>
      </c>
      <c r="C44" s="135" t="s">
        <v>7</v>
      </c>
      <c r="D44" s="108">
        <f>1-INDEX(Data!$D$73:$D$100,MATCH('RFPR cover'!$C$5,Data!$B$73:$B$100,0),0)</f>
        <v>0.30000000000000004</v>
      </c>
      <c r="E44" s="109">
        <f>1-INDEX(Data!$D$73:$D$100,MATCH('RFPR cover'!$C$5,Data!$B$73:$B$100,0),0)</f>
        <v>0.30000000000000004</v>
      </c>
      <c r="F44" s="109">
        <f>1-INDEX(Data!$D$73:$D$100,MATCH('RFPR cover'!$C$5,Data!$B$73:$B$100,0),0)</f>
        <v>0.30000000000000004</v>
      </c>
      <c r="G44" s="109">
        <f>1-INDEX(Data!$D$73:$D$100,MATCH('RFPR cover'!$C$5,Data!$B$73:$B$100,0),0)</f>
        <v>0.30000000000000004</v>
      </c>
      <c r="H44" s="109">
        <f>1-INDEX(Data!$D$73:$D$100,MATCH('RFPR cover'!$C$5,Data!$B$73:$B$100,0),0)</f>
        <v>0.30000000000000004</v>
      </c>
      <c r="I44" s="109">
        <f>1-INDEX(Data!$D$73:$D$100,MATCH('RFPR cover'!$C$5,Data!$B$73:$B$100,0),0)</f>
        <v>0.30000000000000004</v>
      </c>
      <c r="J44" s="109">
        <f>1-INDEX(Data!$D$73:$D$100,MATCH('RFPR cover'!$C$5,Data!$B$73:$B$100,0),0)</f>
        <v>0.30000000000000004</v>
      </c>
      <c r="K44" s="110">
        <f>1-INDEX(Data!$D$73:$D$100,MATCH('RFPR cover'!$C$5,Data!$B$73:$B$100,0),0)</f>
        <v>0.30000000000000004</v>
      </c>
      <c r="L44" s="62"/>
      <c r="M44" s="62"/>
      <c r="N44" s="349"/>
      <c r="O44"/>
      <c r="P44"/>
      <c r="Q44"/>
      <c r="R44"/>
      <c r="S44"/>
      <c r="T44"/>
    </row>
    <row r="45" spans="1:20">
      <c r="A45" s="35"/>
      <c r="B45" s="772"/>
      <c r="N45" s="350"/>
      <c r="O45"/>
      <c r="P45"/>
      <c r="Q45"/>
      <c r="R45"/>
      <c r="S45"/>
      <c r="T45"/>
    </row>
    <row r="46" spans="1:20">
      <c r="A46" s="35"/>
      <c r="B46" s="779" t="s">
        <v>183</v>
      </c>
      <c r="C46" s="158" t="str">
        <f>'RFPR cover'!$C$14</f>
        <v>£m 12/13</v>
      </c>
      <c r="D46" s="94">
        <f>D42*D44</f>
        <v>0</v>
      </c>
      <c r="E46" s="95">
        <f t="shared" ref="E46:K46" si="12">E42*E44</f>
        <v>0</v>
      </c>
      <c r="F46" s="95">
        <f t="shared" si="12"/>
        <v>0</v>
      </c>
      <c r="G46" s="95">
        <f t="shared" si="12"/>
        <v>0</v>
      </c>
      <c r="H46" s="95">
        <f t="shared" si="12"/>
        <v>0</v>
      </c>
      <c r="I46" s="95">
        <f t="shared" si="12"/>
        <v>0</v>
      </c>
      <c r="J46" s="95">
        <f t="shared" si="12"/>
        <v>0</v>
      </c>
      <c r="K46" s="95">
        <f t="shared" si="12"/>
        <v>0</v>
      </c>
      <c r="L46" s="356">
        <f>SUM(D46:INDEX(D46:K46,0,MATCH('RFPR cover'!$C$7,$D$6:$K$6,0)))</f>
        <v>0</v>
      </c>
      <c r="M46" s="575">
        <f>SUM(D46:K46)</f>
        <v>0</v>
      </c>
      <c r="N46" s="352"/>
      <c r="O46"/>
      <c r="P46"/>
      <c r="Q46"/>
      <c r="R46"/>
      <c r="S46"/>
      <c r="T46"/>
    </row>
    <row r="47" spans="1:20">
      <c r="A47" s="35"/>
      <c r="B47" s="779" t="s">
        <v>280</v>
      </c>
      <c r="C47" s="158"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2"/>
      <c r="O47"/>
      <c r="P47"/>
      <c r="Q47"/>
      <c r="R47"/>
      <c r="S47"/>
      <c r="T47"/>
    </row>
    <row r="48" spans="1:20">
      <c r="A48" s="35"/>
      <c r="B48" s="772"/>
      <c r="N48" s="350"/>
      <c r="O48"/>
      <c r="P48"/>
      <c r="Q48"/>
      <c r="R48"/>
      <c r="S48"/>
      <c r="T48"/>
    </row>
    <row r="49" spans="1:20">
      <c r="A49" s="35"/>
      <c r="B49" s="780" t="s">
        <v>182</v>
      </c>
      <c r="N49" s="350"/>
      <c r="O49"/>
      <c r="P49"/>
      <c r="Q49"/>
      <c r="R49"/>
      <c r="S49"/>
      <c r="T49"/>
    </row>
    <row r="50" spans="1:20">
      <c r="A50" s="268" t="s">
        <v>151</v>
      </c>
      <c r="B50" s="770" t="s">
        <v>242</v>
      </c>
      <c r="C50" s="154" t="str">
        <f>'RFPR cover'!$C$14</f>
        <v>£m 12/13</v>
      </c>
      <c r="D50" s="581"/>
      <c r="E50" s="582"/>
      <c r="F50" s="582"/>
      <c r="G50" s="582"/>
      <c r="H50" s="582"/>
      <c r="I50" s="582"/>
      <c r="J50" s="582"/>
      <c r="K50" s="582"/>
      <c r="L50" s="656">
        <f>SUM(D50:INDEX(D50:K50,0,MATCH('RFPR cover'!$C$7,$D$6:$K$6,0)))</f>
        <v>0</v>
      </c>
      <c r="M50" s="657">
        <f t="shared" ref="M50:M56" si="14">SUM(D50:K50)</f>
        <v>0</v>
      </c>
      <c r="N50" s="572"/>
      <c r="O50"/>
      <c r="P50"/>
      <c r="Q50"/>
      <c r="R50"/>
      <c r="S50"/>
      <c r="T50"/>
    </row>
    <row r="51" spans="1:20">
      <c r="A51" s="268" t="s">
        <v>152</v>
      </c>
      <c r="B51" s="770" t="s">
        <v>242</v>
      </c>
      <c r="C51" s="154" t="str">
        <f>'RFPR cover'!$C$14</f>
        <v>£m 12/13</v>
      </c>
      <c r="D51" s="585"/>
      <c r="E51" s="586"/>
      <c r="F51" s="586"/>
      <c r="G51" s="586"/>
      <c r="H51" s="586"/>
      <c r="I51" s="586"/>
      <c r="J51" s="586"/>
      <c r="K51" s="586"/>
      <c r="L51" s="658">
        <f>SUM(D51:INDEX(D51:K51,0,MATCH('RFPR cover'!$C$7,$D$6:$K$6,0)))</f>
        <v>0</v>
      </c>
      <c r="M51" s="659">
        <f t="shared" si="14"/>
        <v>0</v>
      </c>
      <c r="N51" s="573"/>
      <c r="O51"/>
      <c r="P51"/>
      <c r="Q51"/>
      <c r="R51"/>
      <c r="S51"/>
      <c r="T51"/>
    </row>
    <row r="52" spans="1:20">
      <c r="A52" s="268" t="s">
        <v>153</v>
      </c>
      <c r="B52" s="770" t="s">
        <v>242</v>
      </c>
      <c r="C52" s="154" t="str">
        <f>'RFPR cover'!$C$14</f>
        <v>£m 12/13</v>
      </c>
      <c r="D52" s="585"/>
      <c r="E52" s="586"/>
      <c r="F52" s="586"/>
      <c r="G52" s="586"/>
      <c r="H52" s="586"/>
      <c r="I52" s="586"/>
      <c r="J52" s="586"/>
      <c r="K52" s="586"/>
      <c r="L52" s="658">
        <f>SUM(D52:INDEX(D52:K52,0,MATCH('RFPR cover'!$C$7,$D$6:$K$6,0)))</f>
        <v>0</v>
      </c>
      <c r="M52" s="659">
        <f t="shared" si="14"/>
        <v>0</v>
      </c>
      <c r="N52" s="573"/>
      <c r="O52"/>
      <c r="P52"/>
      <c r="Q52"/>
      <c r="R52"/>
      <c r="S52" s="65"/>
      <c r="T52"/>
    </row>
    <row r="53" spans="1:20">
      <c r="A53" s="268" t="s">
        <v>168</v>
      </c>
      <c r="B53" s="770" t="s">
        <v>242</v>
      </c>
      <c r="C53" s="154" t="str">
        <f>'RFPR cover'!$C$14</f>
        <v>£m 12/13</v>
      </c>
      <c r="D53" s="585"/>
      <c r="E53" s="586"/>
      <c r="F53" s="586"/>
      <c r="G53" s="586"/>
      <c r="H53" s="586"/>
      <c r="I53" s="586"/>
      <c r="J53" s="586"/>
      <c r="K53" s="586"/>
      <c r="L53" s="658">
        <f>SUM(D53:INDEX(D53:K53,0,MATCH('RFPR cover'!$C$7,$D$6:$K$6,0)))</f>
        <v>0</v>
      </c>
      <c r="M53" s="659">
        <f t="shared" si="14"/>
        <v>0</v>
      </c>
      <c r="N53" s="573"/>
      <c r="O53"/>
      <c r="P53"/>
      <c r="Q53"/>
      <c r="R53"/>
      <c r="S53"/>
      <c r="T53"/>
    </row>
    <row r="54" spans="1:20">
      <c r="A54" s="268" t="s">
        <v>169</v>
      </c>
      <c r="B54" s="770" t="s">
        <v>242</v>
      </c>
      <c r="C54" s="154" t="str">
        <f>'RFPR cover'!$C$14</f>
        <v>£m 12/13</v>
      </c>
      <c r="D54" s="585"/>
      <c r="E54" s="586"/>
      <c r="F54" s="586"/>
      <c r="G54" s="586"/>
      <c r="H54" s="586"/>
      <c r="I54" s="586"/>
      <c r="J54" s="586"/>
      <c r="K54" s="586"/>
      <c r="L54" s="658">
        <f>SUM(D54:INDEX(D54:K54,0,MATCH('RFPR cover'!$C$7,$D$6:$K$6,0)))</f>
        <v>0</v>
      </c>
      <c r="M54" s="659">
        <f t="shared" si="14"/>
        <v>0</v>
      </c>
      <c r="N54" s="573"/>
      <c r="O54"/>
      <c r="P54"/>
      <c r="Q54"/>
      <c r="R54"/>
      <c r="S54"/>
      <c r="T54"/>
    </row>
    <row r="55" spans="1:20">
      <c r="A55" s="268" t="s">
        <v>170</v>
      </c>
      <c r="B55" s="770" t="s">
        <v>242</v>
      </c>
      <c r="C55" s="154" t="str">
        <f>'RFPR cover'!$C$14</f>
        <v>£m 12/13</v>
      </c>
      <c r="D55" s="589"/>
      <c r="E55" s="590"/>
      <c r="F55" s="590"/>
      <c r="G55" s="590"/>
      <c r="H55" s="590"/>
      <c r="I55" s="590"/>
      <c r="J55" s="590"/>
      <c r="K55" s="590"/>
      <c r="L55" s="660">
        <f>SUM(D55:INDEX(D55:K55,0,MATCH('RFPR cover'!$C$7,$D$6:$K$6,0)))</f>
        <v>0</v>
      </c>
      <c r="M55" s="661">
        <f t="shared" si="14"/>
        <v>0</v>
      </c>
      <c r="N55" s="574"/>
      <c r="O55"/>
      <c r="P55"/>
      <c r="Q55"/>
      <c r="R55"/>
      <c r="S55"/>
      <c r="T55"/>
    </row>
    <row r="56" spans="1:20">
      <c r="A56" s="35"/>
      <c r="B56" s="780" t="s">
        <v>190</v>
      </c>
      <c r="C56" s="154" t="str">
        <f>'RFPR cover'!$C$14</f>
        <v>£m 12/13</v>
      </c>
      <c r="D56" s="101">
        <f>SUM(D50:D55)</f>
        <v>0</v>
      </c>
      <c r="E56" s="102">
        <f t="shared" ref="E56:K56" si="15">SUM(E50:E55)</f>
        <v>0</v>
      </c>
      <c r="F56" s="102">
        <f t="shared" si="15"/>
        <v>0</v>
      </c>
      <c r="G56" s="102">
        <f t="shared" si="15"/>
        <v>0</v>
      </c>
      <c r="H56" s="102">
        <f t="shared" si="15"/>
        <v>0</v>
      </c>
      <c r="I56" s="102">
        <f t="shared" si="15"/>
        <v>0</v>
      </c>
      <c r="J56" s="102">
        <f t="shared" si="15"/>
        <v>0</v>
      </c>
      <c r="K56" s="102">
        <f t="shared" si="15"/>
        <v>0</v>
      </c>
      <c r="L56" s="354">
        <f>SUM(D56:INDEX(D56:K56,0,MATCH('RFPR cover'!$C$7,$D$6:$K$6,0)))</f>
        <v>0</v>
      </c>
      <c r="M56" s="355">
        <f t="shared" si="14"/>
        <v>0</v>
      </c>
      <c r="N56" s="352"/>
    </row>
    <row r="57" spans="1:20">
      <c r="A57" s="35"/>
      <c r="B57" s="772"/>
      <c r="N57" s="350"/>
    </row>
    <row r="58" spans="1:20">
      <c r="A58" s="35"/>
      <c r="B58" s="779" t="s">
        <v>198</v>
      </c>
      <c r="C58" s="158" t="str">
        <f>'RFPR cover'!$C$14</f>
        <v>£m 12/13</v>
      </c>
      <c r="D58" s="94">
        <f t="shared" ref="D58:K58" si="16">D56*D44</f>
        <v>0</v>
      </c>
      <c r="E58" s="95">
        <f t="shared" si="16"/>
        <v>0</v>
      </c>
      <c r="F58" s="95">
        <f t="shared" si="16"/>
        <v>0</v>
      </c>
      <c r="G58" s="95">
        <f t="shared" si="16"/>
        <v>0</v>
      </c>
      <c r="H58" s="95">
        <f t="shared" si="16"/>
        <v>0</v>
      </c>
      <c r="I58" s="95">
        <f t="shared" si="16"/>
        <v>0</v>
      </c>
      <c r="J58" s="95">
        <f t="shared" si="16"/>
        <v>0</v>
      </c>
      <c r="K58" s="95">
        <f t="shared" si="16"/>
        <v>0</v>
      </c>
      <c r="L58" s="356">
        <f>SUM(D58:INDEX(D58:K58,0,MATCH('RFPR cover'!$C$7,$D$6:$K$6,0)))</f>
        <v>0</v>
      </c>
      <c r="M58" s="575">
        <f>SUM(D58:K58)</f>
        <v>0</v>
      </c>
      <c r="N58" s="352"/>
    </row>
    <row r="59" spans="1:20">
      <c r="A59" s="35"/>
      <c r="B59" s="779" t="s">
        <v>309</v>
      </c>
      <c r="C59" s="158" t="str">
        <f>'RFPR cover'!$C$14</f>
        <v>£m 12/13</v>
      </c>
      <c r="D59" s="91">
        <f t="shared" ref="D59:K59" si="17">D56*(1-D44)</f>
        <v>0</v>
      </c>
      <c r="E59" s="92">
        <f t="shared" si="17"/>
        <v>0</v>
      </c>
      <c r="F59" s="92">
        <f t="shared" si="17"/>
        <v>0</v>
      </c>
      <c r="G59" s="92">
        <f t="shared" si="17"/>
        <v>0</v>
      </c>
      <c r="H59" s="92">
        <f t="shared" si="17"/>
        <v>0</v>
      </c>
      <c r="I59" s="92">
        <f t="shared" si="17"/>
        <v>0</v>
      </c>
      <c r="J59" s="92">
        <f t="shared" si="17"/>
        <v>0</v>
      </c>
      <c r="K59" s="92">
        <f t="shared" si="17"/>
        <v>0</v>
      </c>
      <c r="L59" s="357">
        <f>SUM(D59:INDEX(D59:K59,0,MATCH('RFPR cover'!$C$7,$D$6:$K$6,0)))</f>
        <v>0</v>
      </c>
      <c r="M59" s="576">
        <f>SUM(D59:K59)</f>
        <v>0</v>
      </c>
      <c r="N59" s="352"/>
    </row>
    <row r="60" spans="1:20">
      <c r="A60" s="35"/>
      <c r="B60" s="772"/>
      <c r="N60" s="350"/>
    </row>
    <row r="61" spans="1:20">
      <c r="A61" s="35"/>
      <c r="B61" s="780" t="s">
        <v>181</v>
      </c>
      <c r="N61" s="350"/>
    </row>
    <row r="62" spans="1:20">
      <c r="A62" s="35"/>
      <c r="B62" s="772" t="s">
        <v>180</v>
      </c>
      <c r="C62" s="154" t="str">
        <f>'RFPR cover'!$C$14</f>
        <v>£m 12/13</v>
      </c>
      <c r="D62" s="94">
        <f>D46+D58</f>
        <v>0</v>
      </c>
      <c r="E62" s="95">
        <f t="shared" ref="E62:K62" si="18">E46+E58</f>
        <v>0</v>
      </c>
      <c r="F62" s="95">
        <f t="shared" si="18"/>
        <v>0</v>
      </c>
      <c r="G62" s="95">
        <f t="shared" si="18"/>
        <v>0</v>
      </c>
      <c r="H62" s="95">
        <f t="shared" si="18"/>
        <v>0</v>
      </c>
      <c r="I62" s="95">
        <f t="shared" si="18"/>
        <v>0</v>
      </c>
      <c r="J62" s="95">
        <f t="shared" si="18"/>
        <v>0</v>
      </c>
      <c r="K62" s="95">
        <f t="shared" si="18"/>
        <v>0</v>
      </c>
      <c r="L62" s="356">
        <f>SUM(D62:INDEX(D62:K62,0,MATCH('RFPR cover'!$C$7,$D$6:$K$6,0)))</f>
        <v>0</v>
      </c>
      <c r="M62" s="575">
        <f>SUM(D62:K62)</f>
        <v>0</v>
      </c>
      <c r="N62" s="352"/>
    </row>
    <row r="63" spans="1:20">
      <c r="A63" s="35"/>
      <c r="B63" s="772" t="s">
        <v>280</v>
      </c>
      <c r="C63" s="154" t="str">
        <f>'RFPR cover'!$C$14</f>
        <v>£m 12/13</v>
      </c>
      <c r="D63" s="97">
        <f>D47+D59</f>
        <v>0</v>
      </c>
      <c r="E63" s="98">
        <f t="shared" ref="E63:K63" si="19">E47+E59</f>
        <v>0</v>
      </c>
      <c r="F63" s="98">
        <f t="shared" si="19"/>
        <v>0</v>
      </c>
      <c r="G63" s="98">
        <f t="shared" si="19"/>
        <v>0</v>
      </c>
      <c r="H63" s="98">
        <f t="shared" si="19"/>
        <v>0</v>
      </c>
      <c r="I63" s="98">
        <f t="shared" si="19"/>
        <v>0</v>
      </c>
      <c r="J63" s="98">
        <f t="shared" si="19"/>
        <v>0</v>
      </c>
      <c r="K63" s="98">
        <f t="shared" si="19"/>
        <v>0</v>
      </c>
      <c r="L63" s="358">
        <f>SUM(D63:INDEX(D63:K63,0,MATCH('RFPR cover'!$C$7,$D$6:$K$6,0)))</f>
        <v>0</v>
      </c>
      <c r="M63" s="576">
        <f>SUM(D63:K63)</f>
        <v>0</v>
      </c>
      <c r="N63" s="352"/>
    </row>
    <row r="64" spans="1:20">
      <c r="A64" s="35"/>
      <c r="B64" s="780" t="s">
        <v>11</v>
      </c>
      <c r="C64" s="155" t="str">
        <f>'RFPR cover'!$C$14</f>
        <v>£m 12/13</v>
      </c>
      <c r="D64" s="138">
        <f>SUM(D62:D63)</f>
        <v>0</v>
      </c>
      <c r="E64" s="139">
        <f t="shared" ref="E64:K64" si="20">SUM(E62:E63)</f>
        <v>0</v>
      </c>
      <c r="F64" s="139">
        <f t="shared" si="20"/>
        <v>0</v>
      </c>
      <c r="G64" s="139">
        <f t="shared" si="20"/>
        <v>0</v>
      </c>
      <c r="H64" s="139">
        <f t="shared" si="20"/>
        <v>0</v>
      </c>
      <c r="I64" s="139">
        <f t="shared" si="20"/>
        <v>0</v>
      </c>
      <c r="J64" s="139">
        <f t="shared" si="20"/>
        <v>0</v>
      </c>
      <c r="K64" s="139">
        <f t="shared" si="20"/>
        <v>0</v>
      </c>
      <c r="L64" s="359">
        <f>SUM(D64:INDEX(D64:K64,0,MATCH('RFPR cover'!$C$7,$D$6:$K$6,0)))</f>
        <v>0</v>
      </c>
      <c r="M64" s="360">
        <f>SUM(D64:K64)</f>
        <v>0</v>
      </c>
      <c r="N64" s="353"/>
    </row>
    <row r="65" spans="1:20">
      <c r="A65" s="35"/>
      <c r="B65" s="780"/>
      <c r="C65" s="155"/>
      <c r="D65" s="155"/>
      <c r="E65" s="155"/>
      <c r="F65" s="155"/>
      <c r="G65" s="155"/>
      <c r="H65" s="155"/>
      <c r="I65" s="155"/>
      <c r="J65" s="155"/>
      <c r="K65" s="155"/>
      <c r="L65" s="155"/>
      <c r="M65" s="155"/>
    </row>
    <row r="66" spans="1:20">
      <c r="A66" s="35"/>
      <c r="B66" s="775" t="s">
        <v>257</v>
      </c>
      <c r="C66" s="149"/>
      <c r="D66" s="82"/>
      <c r="E66" s="82"/>
      <c r="F66" s="82"/>
      <c r="G66" s="82"/>
      <c r="H66" s="82"/>
      <c r="I66" s="82"/>
      <c r="J66" s="82"/>
      <c r="K66" s="82"/>
      <c r="L66" s="82"/>
      <c r="M66" s="82"/>
      <c r="N66" s="82"/>
    </row>
    <row r="67" spans="1:20">
      <c r="A67" s="35"/>
      <c r="B67" s="772"/>
      <c r="O67"/>
      <c r="P67"/>
      <c r="Q67"/>
      <c r="R67"/>
      <c r="S67"/>
      <c r="T67"/>
    </row>
    <row r="68" spans="1:20">
      <c r="A68" s="35"/>
      <c r="B68" s="780" t="s">
        <v>181</v>
      </c>
    </row>
    <row r="69" spans="1:20">
      <c r="A69" s="35"/>
      <c r="B69" s="772" t="s">
        <v>180</v>
      </c>
      <c r="C69" s="154" t="str">
        <f>'RFPR cover'!$C$14</f>
        <v>£m 12/13</v>
      </c>
      <c r="D69" s="94">
        <f>D34+D62</f>
        <v>1.2672830650894982</v>
      </c>
      <c r="E69" s="95">
        <f t="shared" ref="E69:K69" si="21">E34+E62</f>
        <v>-3.3066586411245771</v>
      </c>
      <c r="F69" s="95">
        <f t="shared" si="21"/>
        <v>-5.7119497120900489</v>
      </c>
      <c r="G69" s="95">
        <f t="shared" si="21"/>
        <v>7.5826184675557311</v>
      </c>
      <c r="H69" s="95">
        <f t="shared" si="21"/>
        <v>2.7266540234286296</v>
      </c>
      <c r="I69" s="95">
        <f t="shared" si="21"/>
        <v>6.154356926584847</v>
      </c>
      <c r="J69" s="95">
        <f t="shared" si="21"/>
        <v>1.2327776361686893</v>
      </c>
      <c r="K69" s="95">
        <f t="shared" si="21"/>
        <v>1.6850675366221779</v>
      </c>
      <c r="L69" s="94">
        <f>SUM(D69:INDEX(D69:K69,0,MATCH('RFPR cover'!$C$7,$D$6:$K$6,0)))</f>
        <v>2.5579472028592329</v>
      </c>
      <c r="M69" s="96">
        <f>SUM(D69:K69)</f>
        <v>11.630149302234948</v>
      </c>
    </row>
    <row r="70" spans="1:20">
      <c r="A70" s="35"/>
      <c r="B70" s="772" t="s">
        <v>280</v>
      </c>
      <c r="C70" s="154" t="str">
        <f>'RFPR cover'!$C$14</f>
        <v>£m 12/13</v>
      </c>
      <c r="D70" s="520">
        <f t="shared" ref="D70:K70" si="22">D35+D63</f>
        <v>2.9569938185421618</v>
      </c>
      <c r="E70" s="521">
        <f t="shared" si="22"/>
        <v>-7.7155368292906772</v>
      </c>
      <c r="F70" s="521">
        <f t="shared" si="22"/>
        <v>-13.327882661543445</v>
      </c>
      <c r="G70" s="521">
        <f t="shared" si="22"/>
        <v>17.692776424296703</v>
      </c>
      <c r="H70" s="521">
        <f t="shared" si="22"/>
        <v>6.3621927213334679</v>
      </c>
      <c r="I70" s="521">
        <f t="shared" si="22"/>
        <v>14.360166162031307</v>
      </c>
      <c r="J70" s="521">
        <f t="shared" si="22"/>
        <v>2.8764811510602746</v>
      </c>
      <c r="K70" s="521">
        <f t="shared" si="22"/>
        <v>3.9318242521184148</v>
      </c>
      <c r="L70" s="520">
        <f>SUM(D70:INDEX(D70:K70,0,MATCH('RFPR cover'!$C$7,$D$6:$K$6,0)))</f>
        <v>5.9685434733382117</v>
      </c>
      <c r="M70" s="522">
        <f>SUM(D70:K70)</f>
        <v>27.13701503854821</v>
      </c>
    </row>
    <row r="71" spans="1:20">
      <c r="A71" s="35"/>
      <c r="B71" s="780" t="s">
        <v>11</v>
      </c>
      <c r="C71" s="155" t="str">
        <f>'RFPR cover'!$C$14</f>
        <v>£m 12/13</v>
      </c>
      <c r="D71" s="144">
        <f>SUM(D69:D70)</f>
        <v>4.22427688363166</v>
      </c>
      <c r="E71" s="145">
        <f t="shared" ref="E71:K71" si="23">SUM(E69:E70)</f>
        <v>-11.022195470415255</v>
      </c>
      <c r="F71" s="145">
        <f t="shared" si="23"/>
        <v>-19.039832373633494</v>
      </c>
      <c r="G71" s="145">
        <f t="shared" si="23"/>
        <v>25.275394891852436</v>
      </c>
      <c r="H71" s="145">
        <f t="shared" si="23"/>
        <v>9.0888467447620975</v>
      </c>
      <c r="I71" s="145">
        <f t="shared" si="23"/>
        <v>20.514523088616155</v>
      </c>
      <c r="J71" s="145">
        <f t="shared" si="23"/>
        <v>4.1092587872289634</v>
      </c>
      <c r="K71" s="145">
        <f t="shared" si="23"/>
        <v>5.6168917887405927</v>
      </c>
      <c r="L71" s="144">
        <f>SUM(D71:INDEX(D71:K71,0,MATCH('RFPR cover'!$C$7,$D$6:$K$6,0)))</f>
        <v>8.5264906761974437</v>
      </c>
      <c r="M71" s="146">
        <f>SUM(D71:K71)</f>
        <v>38.767164340783161</v>
      </c>
    </row>
    <row r="72" spans="1:20">
      <c r="A72" s="35"/>
      <c r="B72" s="780"/>
      <c r="C72" s="155"/>
      <c r="D72" s="155"/>
      <c r="E72" s="155"/>
      <c r="F72" s="155"/>
      <c r="G72" s="155"/>
      <c r="H72" s="155"/>
      <c r="I72" s="155"/>
      <c r="J72" s="155"/>
      <c r="K72" s="155"/>
      <c r="L72" s="155"/>
      <c r="M72" s="155"/>
    </row>
    <row r="73" spans="1:20">
      <c r="A73" s="35"/>
      <c r="B73" s="772"/>
    </row>
    <row r="74" spans="1:20">
      <c r="A74" s="35"/>
      <c r="B74" s="775" t="s">
        <v>214</v>
      </c>
      <c r="C74" s="149"/>
      <c r="D74" s="81"/>
      <c r="E74" s="81"/>
      <c r="F74" s="81"/>
      <c r="G74" s="81"/>
      <c r="H74" s="81"/>
      <c r="I74" s="81"/>
      <c r="J74" s="81"/>
      <c r="K74" s="81"/>
      <c r="L74" s="81"/>
      <c r="M74" s="81"/>
      <c r="N74" s="81"/>
    </row>
    <row r="75" spans="1:20">
      <c r="A75" s="35"/>
      <c r="B75" s="367" t="s">
        <v>213</v>
      </c>
      <c r="C75" s="366"/>
      <c r="D75" s="366"/>
      <c r="E75" s="366"/>
      <c r="F75" s="366"/>
      <c r="G75" s="366"/>
      <c r="H75" s="366"/>
      <c r="I75" s="366"/>
      <c r="J75" s="366"/>
      <c r="K75" s="366"/>
      <c r="L75" s="366"/>
      <c r="M75" s="366"/>
      <c r="N75" s="366"/>
    </row>
    <row r="76" spans="1:20" s="35" customFormat="1">
      <c r="B76" s="427"/>
      <c r="C76" s="371"/>
      <c r="D76" s="371"/>
      <c r="E76" s="371"/>
      <c r="F76" s="371"/>
      <c r="G76" s="371"/>
      <c r="H76" s="371"/>
      <c r="I76" s="371"/>
      <c r="J76" s="371"/>
      <c r="K76" s="371"/>
      <c r="L76" s="371"/>
      <c r="M76" s="371"/>
      <c r="N76" s="371"/>
    </row>
    <row r="77" spans="1:20">
      <c r="A77" s="35"/>
      <c r="B77" s="779" t="s">
        <v>217</v>
      </c>
      <c r="C77" s="154" t="str">
        <f>'RFPR cover'!$C$14</f>
        <v>£m 12/13</v>
      </c>
      <c r="D77" s="662">
        <f>INDEX(Data!$C$119:$L$146,MATCH('RFPR cover'!$C$5,Data!$B$119:$B$146,0),MATCH('R4 - Totex'!D$6,Data!$C$118:$L$118,0))</f>
        <v>5.3762701961708466</v>
      </c>
      <c r="E77" s="663">
        <f>INDEX(Data!$C$119:$L$146,MATCH('RFPR cover'!$C$5,Data!$B$119:$B$146,0),MATCH('R4 - Totex'!E$6,Data!$C$118:$L$118,0))</f>
        <v>5.3775969760840585</v>
      </c>
      <c r="F77" s="663">
        <f>INDEX(Data!$C$119:$L$146,MATCH('RFPR cover'!$C$5,Data!$B$119:$B$146,0),MATCH('R4 - Totex'!F$6,Data!$C$118:$L$118,0))</f>
        <v>5.2618102801807671</v>
      </c>
      <c r="G77" s="663">
        <f>INDEX(Data!$C$119:$L$146,MATCH('RFPR cover'!$C$5,Data!$B$119:$B$146,0),MATCH('R4 - Totex'!G$6,Data!$C$118:$L$118,0))</f>
        <v>5.360849180672294</v>
      </c>
      <c r="H77" s="663">
        <f>INDEX(Data!$C$119:$L$146,MATCH('RFPR cover'!$C$5,Data!$B$119:$B$146,0),MATCH('R4 - Totex'!H$6,Data!$C$118:$L$118,0))</f>
        <v>5.2665238228731912</v>
      </c>
      <c r="I77" s="663">
        <f>INDEX(Data!$C$119:$L$146,MATCH('RFPR cover'!$C$5,Data!$B$119:$B$146,0),MATCH('R4 - Totex'!I$6,Data!$C$118:$L$118,0))</f>
        <v>5.3271179030285305</v>
      </c>
      <c r="J77" s="663">
        <f>INDEX(Data!$C$119:$L$146,MATCH('RFPR cover'!$C$5,Data!$B$119:$B$146,0),MATCH('R4 - Totex'!J$6,Data!$C$118:$L$118,0))</f>
        <v>5.3223294006601192</v>
      </c>
      <c r="K77" s="664">
        <f>INDEX(Data!$C$119:$L$146,MATCH('RFPR cover'!$C$5,Data!$B$119:$B$146,0),MATCH('R4 - Totex'!K$6,Data!$C$118:$L$118,0))</f>
        <v>5.5699880746272257</v>
      </c>
      <c r="L77" s="97">
        <f>SUM(D77:INDEX(D77:K77,0,MATCH('RFPR cover'!$C$7,$D$6:$K$6,0)))</f>
        <v>26.643050455981154</v>
      </c>
      <c r="M77" s="99">
        <f>SUM(D77:K77)</f>
        <v>42.862485834297026</v>
      </c>
    </row>
    <row r="78" spans="1:20">
      <c r="A78" s="35"/>
      <c r="B78" s="224" t="s">
        <v>201</v>
      </c>
      <c r="C78" s="154" t="s">
        <v>7</v>
      </c>
      <c r="D78" s="883">
        <f>IF(INDEX(Data!$J$73:$J$100,MATCH('RFPR cover'!$C$5,Data!$B$73:$B$100,0),0)="Pre",INDEX(Data!$G$18:$G$27,MATCH('R4 - Totex'!D$6,Data!$C$18:$C$27,0),0),"n/a")</f>
        <v>0.2</v>
      </c>
      <c r="E78" s="883">
        <f>IF(INDEX(Data!$J$73:$J$100,MATCH('RFPR cover'!$C$5,Data!$B$73:$B$100,0),0)="Pre",INDEX(Data!$G$18:$G$27,MATCH('R4 - Totex'!E$6,Data!$C$18:$C$27,0),0),"n/a")</f>
        <v>0.2</v>
      </c>
      <c r="F78" s="883">
        <f>IF(INDEX(Data!$J$73:$J$100,MATCH('RFPR cover'!$C$5,Data!$B$73:$B$100,0),0)="Pre",INDEX(Data!$G$18:$G$27,MATCH('R4 - Totex'!F$6,Data!$C$18:$C$27,0),0),"n/a")</f>
        <v>0.19</v>
      </c>
      <c r="G78" s="883">
        <f>IF(INDEX(Data!$J$73:$J$100,MATCH('RFPR cover'!$C$5,Data!$B$73:$B$100,0),0)="Pre",INDEX(Data!$G$18:$G$27,MATCH('R4 - Totex'!G$6,Data!$C$18:$C$27,0),0),"n/a")</f>
        <v>0.19</v>
      </c>
      <c r="H78" s="883">
        <f>IF(INDEX(Data!$J$73:$J$100,MATCH('RFPR cover'!$C$5,Data!$B$73:$B$100,0),0)="Pre",INDEX(Data!$G$18:$G$27,MATCH('R4 - Totex'!H$6,Data!$C$18:$C$27,0),0),"n/a")</f>
        <v>0.19</v>
      </c>
      <c r="I78" s="883">
        <f>IF(INDEX(Data!$J$73:$J$100,MATCH('RFPR cover'!$C$5,Data!$B$73:$B$100,0),0)="Pre",INDEX(Data!$G$18:$G$27,MATCH('R4 - Totex'!I$6,Data!$C$18:$C$27,0),0),"n/a")</f>
        <v>0.19</v>
      </c>
      <c r="J78" s="883">
        <f>IF(INDEX(Data!$J$73:$J$100,MATCH('RFPR cover'!$C$5,Data!$B$73:$B$100,0),0)="Pre",INDEX(Data!$G$18:$G$27,MATCH('R4 - Totex'!J$6,Data!$C$18:$C$27,0),0),"n/a")</f>
        <v>0.19</v>
      </c>
      <c r="K78" s="883">
        <f>IF(INDEX(Data!$J$73:$J$100,MATCH('RFPR cover'!$C$5,Data!$B$73:$B$100,0),0)="Pre",INDEX(Data!$G$18:$G$27,MATCH('R4 - Totex'!K$6,Data!$C$18:$C$27,0),0),"n/a")</f>
        <v>0.19</v>
      </c>
      <c r="L78" s="881"/>
      <c r="M78" s="882"/>
    </row>
    <row r="79" spans="1:20">
      <c r="A79" s="35"/>
      <c r="B79" s="224" t="s">
        <v>210</v>
      </c>
      <c r="C79" s="154" t="str">
        <f>'RFPR cover'!$C$14</f>
        <v>£m 12/13</v>
      </c>
      <c r="D79" s="609">
        <f>IF(ISNUMBER(D78),D77*(1-D78),D77)</f>
        <v>4.3010161569366776</v>
      </c>
      <c r="E79" s="610">
        <f t="shared" ref="E79:K79" si="24">IF(ISNUMBER(E78),E77*(1-E78),E77)</f>
        <v>4.3020775808672473</v>
      </c>
      <c r="F79" s="610">
        <f t="shared" si="24"/>
        <v>4.2620663269464218</v>
      </c>
      <c r="G79" s="610">
        <f t="shared" si="24"/>
        <v>4.3422878363445587</v>
      </c>
      <c r="H79" s="610">
        <f t="shared" si="24"/>
        <v>4.2658842965272852</v>
      </c>
      <c r="I79" s="610">
        <f t="shared" si="24"/>
        <v>4.3149655014531101</v>
      </c>
      <c r="J79" s="610">
        <f t="shared" si="24"/>
        <v>4.311086814534697</v>
      </c>
      <c r="K79" s="611">
        <f t="shared" si="24"/>
        <v>4.5116903404480535</v>
      </c>
      <c r="L79" s="668">
        <f>SUM(D79:INDEX(D79:K79,0,MATCH('RFPR cover'!$C$7,$D$6:$K$6,0)))</f>
        <v>21.473332197622188</v>
      </c>
      <c r="M79" s="669">
        <f>SUM(D79:K79)</f>
        <v>34.611074854058046</v>
      </c>
    </row>
    <row r="80" spans="1:20">
      <c r="A80" s="35"/>
      <c r="B80" s="224"/>
      <c r="C80" s="66"/>
      <c r="D80" s="281"/>
      <c r="E80" s="281"/>
      <c r="F80" s="281"/>
      <c r="G80" s="281"/>
      <c r="H80" s="281"/>
      <c r="I80" s="281"/>
      <c r="J80" s="281"/>
      <c r="K80" s="281"/>
      <c r="L80" s="282"/>
      <c r="M80" s="282"/>
    </row>
    <row r="81" spans="1:20">
      <c r="A81" s="35"/>
      <c r="B81" s="224"/>
      <c r="C81" s="66"/>
      <c r="D81" s="281"/>
      <c r="E81" s="281"/>
      <c r="F81" s="281"/>
      <c r="G81" s="281"/>
      <c r="H81" s="281"/>
      <c r="I81" s="281"/>
      <c r="J81" s="281"/>
      <c r="K81" s="281"/>
      <c r="L81" s="282"/>
      <c r="M81" s="282"/>
    </row>
    <row r="82" spans="1:20">
      <c r="A82" s="35"/>
      <c r="B82" s="224"/>
      <c r="C82" s="66"/>
      <c r="D82" s="281"/>
      <c r="E82" s="281"/>
      <c r="F82" s="281"/>
      <c r="G82" s="281"/>
      <c r="H82" s="281"/>
      <c r="I82" s="281"/>
      <c r="J82" s="281"/>
      <c r="K82" s="281"/>
      <c r="L82" s="282"/>
      <c r="M82" s="282"/>
    </row>
    <row r="83" spans="1:20">
      <c r="A83" s="35"/>
      <c r="B83" s="772"/>
    </row>
    <row r="84" spans="1:20">
      <c r="A84" s="35"/>
      <c r="B84" s="774" t="s">
        <v>187</v>
      </c>
      <c r="C84" s="290"/>
      <c r="D84" s="292"/>
      <c r="E84" s="292"/>
      <c r="F84" s="292"/>
      <c r="G84" s="292"/>
      <c r="H84" s="292"/>
      <c r="I84" s="292"/>
      <c r="J84" s="292"/>
      <c r="K84" s="292"/>
      <c r="L84" s="292"/>
      <c r="M84" s="292"/>
      <c r="N84" s="292"/>
    </row>
    <row r="85" spans="1:20">
      <c r="A85" s="35"/>
      <c r="B85" s="780"/>
    </row>
    <row r="86" spans="1:20">
      <c r="A86" s="35"/>
      <c r="B86" s="779" t="str">
        <f>Data!B34</f>
        <v>Financial Year Average RPI (RPIt)</v>
      </c>
      <c r="C86" s="135" t="s">
        <v>127</v>
      </c>
      <c r="D86" s="111">
        <f>Data!C$34</f>
        <v>1.0603167467048125</v>
      </c>
      <c r="E86" s="112">
        <f>Data!D$34</f>
        <v>1.0830366813119445</v>
      </c>
      <c r="F86" s="112">
        <f>Data!E$34</f>
        <v>1.1235639113109226</v>
      </c>
      <c r="G86" s="112">
        <f>Data!F$34</f>
        <v>1.1578951670583426</v>
      </c>
      <c r="H86" s="112">
        <f>Data!G$34</f>
        <v>1.1878696229692449</v>
      </c>
      <c r="I86" s="112">
        <f>Data!H$34</f>
        <v>1.2080634065597218</v>
      </c>
      <c r="J86" s="112">
        <f>Data!I$34</f>
        <v>1.2337347539491161</v>
      </c>
      <c r="K86" s="113">
        <f>Data!J$34</f>
        <v>1.2655034238633056</v>
      </c>
    </row>
    <row r="87" spans="1:20">
      <c r="A87" s="35"/>
      <c r="B87" s="779"/>
      <c r="D87" s="135"/>
      <c r="E87" s="135"/>
      <c r="F87" s="135"/>
      <c r="G87" s="135"/>
      <c r="H87" s="135"/>
      <c r="I87" s="135"/>
      <c r="J87" s="135"/>
      <c r="K87" s="135"/>
    </row>
    <row r="88" spans="1:20">
      <c r="A88" s="35"/>
      <c r="B88" s="775" t="str">
        <f>B10</f>
        <v>Totex</v>
      </c>
      <c r="C88" s="149"/>
      <c r="D88" s="82"/>
      <c r="E88" s="82"/>
      <c r="F88" s="82"/>
      <c r="G88" s="82"/>
      <c r="H88" s="82"/>
      <c r="I88" s="82"/>
      <c r="J88" s="82"/>
      <c r="K88" s="82"/>
      <c r="L88" s="82"/>
      <c r="M88" s="82"/>
      <c r="N88" s="82"/>
    </row>
    <row r="89" spans="1:20" s="35" customFormat="1">
      <c r="B89" s="776"/>
      <c r="C89" s="137"/>
      <c r="D89" s="319"/>
      <c r="E89" s="319"/>
      <c r="F89" s="319"/>
      <c r="G89" s="319"/>
      <c r="H89" s="319"/>
      <c r="I89" s="319"/>
      <c r="J89" s="319"/>
      <c r="K89" s="319"/>
      <c r="L89" s="319"/>
      <c r="M89" s="319"/>
      <c r="N89" s="319"/>
    </row>
    <row r="90" spans="1:20">
      <c r="A90" s="35"/>
      <c r="B90" s="304" t="s">
        <v>34</v>
      </c>
      <c r="C90" s="154" t="s">
        <v>128</v>
      </c>
      <c r="D90" s="671">
        <f>D12*D$86</f>
        <v>223.13980000000001</v>
      </c>
      <c r="E90" s="671">
        <f t="shared" ref="D90:K91" si="25">E12*E$86</f>
        <v>261.05695517544336</v>
      </c>
      <c r="F90" s="671">
        <f t="shared" si="25"/>
        <v>233.59972181202676</v>
      </c>
      <c r="G90" s="671">
        <f t="shared" si="25"/>
        <v>222.07291185999995</v>
      </c>
      <c r="H90" s="671">
        <f t="shared" si="25"/>
        <v>242.66102057520052</v>
      </c>
      <c r="I90" s="671">
        <f t="shared" si="25"/>
        <v>232.87744716989047</v>
      </c>
      <c r="J90" s="671">
        <f t="shared" si="25"/>
        <v>259.78936278237211</v>
      </c>
      <c r="K90" s="671">
        <f t="shared" si="25"/>
        <v>269.41898332296796</v>
      </c>
      <c r="L90" s="670">
        <f>SUM(D90:INDEX(D90:K90,0,MATCH('RFPR cover'!$C$7,$D$6:$K$6,0)))</f>
        <v>1182.5304094226708</v>
      </c>
      <c r="M90" s="671">
        <f>SUM(D90:K90)</f>
        <v>1944.6162026979014</v>
      </c>
      <c r="N90" s="63"/>
      <c r="O90" s="63"/>
    </row>
    <row r="91" spans="1:20" ht="25.2">
      <c r="A91" s="35"/>
      <c r="B91" s="777" t="s">
        <v>197</v>
      </c>
      <c r="C91" s="154" t="s">
        <v>128</v>
      </c>
      <c r="D91" s="671">
        <f t="shared" si="25"/>
        <v>227.6188715224327</v>
      </c>
      <c r="E91" s="671">
        <f t="shared" si="25"/>
        <v>233.1812827911611</v>
      </c>
      <c r="F91" s="671">
        <f t="shared" si="25"/>
        <v>237.43560388330437</v>
      </c>
      <c r="G91" s="671">
        <f t="shared" si="25"/>
        <v>248.13931033386476</v>
      </c>
      <c r="H91" s="671">
        <f t="shared" si="25"/>
        <v>250.23774671339694</v>
      </c>
      <c r="I91" s="671">
        <f t="shared" si="25"/>
        <v>253.69901275091317</v>
      </c>
      <c r="J91" s="671">
        <f t="shared" si="25"/>
        <v>258.853807100219</v>
      </c>
      <c r="K91" s="671">
        <f t="shared" si="25"/>
        <v>278.05580862724241</v>
      </c>
      <c r="L91" s="672">
        <f>SUM(D91:INDEX(D91:K91,0,MATCH('RFPR cover'!$C$7,$D$6:$K$6,0)))</f>
        <v>1196.6128152441597</v>
      </c>
      <c r="M91" s="673">
        <f>SUM(D91:K91)</f>
        <v>1987.2214437225343</v>
      </c>
      <c r="N91" s="63"/>
      <c r="O91" s="63"/>
    </row>
    <row r="92" spans="1:20">
      <c r="A92" s="35"/>
      <c r="B92" s="778" t="s">
        <v>195</v>
      </c>
      <c r="C92" s="154" t="s">
        <v>128</v>
      </c>
      <c r="D92" s="101">
        <f>D91-D90</f>
        <v>4.4790715224326902</v>
      </c>
      <c r="E92" s="102">
        <f t="shared" ref="E92:M92" si="26">E91-E90</f>
        <v>-27.875672384282268</v>
      </c>
      <c r="F92" s="102">
        <f t="shared" si="26"/>
        <v>3.8358820712776094</v>
      </c>
      <c r="G92" s="102">
        <f t="shared" si="26"/>
        <v>26.066398473864808</v>
      </c>
      <c r="H92" s="102">
        <f t="shared" si="26"/>
        <v>7.5767261381964204</v>
      </c>
      <c r="I92" s="102">
        <f t="shared" si="26"/>
        <v>20.821565581022696</v>
      </c>
      <c r="J92" s="102">
        <f t="shared" si="26"/>
        <v>-0.93555568215310814</v>
      </c>
      <c r="K92" s="103">
        <f t="shared" si="26"/>
        <v>8.6368253042744527</v>
      </c>
      <c r="L92" s="101">
        <f t="shared" si="26"/>
        <v>14.082405821488919</v>
      </c>
      <c r="M92" s="103">
        <f t="shared" si="26"/>
        <v>42.60524102463296</v>
      </c>
      <c r="N92" s="63"/>
      <c r="O92" s="1011"/>
      <c r="P92" s="1011"/>
      <c r="Q92" s="1011"/>
      <c r="R92"/>
      <c r="S92"/>
      <c r="T92"/>
    </row>
    <row r="93" spans="1:20" ht="13.2">
      <c r="A93" s="35"/>
      <c r="B93" s="778"/>
      <c r="C93" s="154"/>
      <c r="D93" s="59"/>
      <c r="E93" s="59"/>
      <c r="F93" s="59"/>
      <c r="G93" s="59"/>
      <c r="H93" s="59"/>
      <c r="I93" s="59"/>
      <c r="J93" s="59"/>
      <c r="K93" s="59"/>
      <c r="L93" s="59"/>
      <c r="M93" s="59"/>
      <c r="O93" s="64"/>
      <c r="P93" s="64"/>
      <c r="Q93" s="64"/>
      <c r="R93"/>
      <c r="S93"/>
      <c r="T93"/>
    </row>
    <row r="94" spans="1:20">
      <c r="A94" s="35"/>
      <c r="B94" s="772" t="s">
        <v>178</v>
      </c>
      <c r="C94" s="135" t="s">
        <v>7</v>
      </c>
      <c r="D94" s="108">
        <f>1-INDEX(Data!$D$73:$D$100,MATCH('RFPR cover'!$C$5,Data!$B$73:$B$100,0),0)</f>
        <v>0.30000000000000004</v>
      </c>
      <c r="E94" s="109">
        <f>1-INDEX(Data!$D$73:$D$100,MATCH('RFPR cover'!$C$5,Data!$B$73:$B$100,0),0)</f>
        <v>0.30000000000000004</v>
      </c>
      <c r="F94" s="109">
        <f>1-INDEX(Data!$D$73:$D$100,MATCH('RFPR cover'!$C$5,Data!$B$73:$B$100,0),0)</f>
        <v>0.30000000000000004</v>
      </c>
      <c r="G94" s="109">
        <f>1-INDEX(Data!$D$73:$D$100,MATCH('RFPR cover'!$C$5,Data!$B$73:$B$100,0),0)</f>
        <v>0.30000000000000004</v>
      </c>
      <c r="H94" s="109">
        <f>1-INDEX(Data!$D$73:$D$100,MATCH('RFPR cover'!$C$5,Data!$B$73:$B$100,0),0)</f>
        <v>0.30000000000000004</v>
      </c>
      <c r="I94" s="109">
        <f>1-INDEX(Data!$D$73:$D$100,MATCH('RFPR cover'!$C$5,Data!$B$73:$B$100,0),0)</f>
        <v>0.30000000000000004</v>
      </c>
      <c r="J94" s="109">
        <f>1-INDEX(Data!$D$73:$D$100,MATCH('RFPR cover'!$C$5,Data!$B$73:$B$100,0),0)</f>
        <v>0.30000000000000004</v>
      </c>
      <c r="K94" s="110">
        <f>1-INDEX(Data!$D$73:$D$100,MATCH('RFPR cover'!$C$5,Data!$B$73:$B$100,0),0)</f>
        <v>0.30000000000000004</v>
      </c>
      <c r="L94" s="62"/>
      <c r="M94" s="62"/>
      <c r="O94"/>
      <c r="P94"/>
      <c r="Q94"/>
      <c r="R94"/>
      <c r="S94"/>
      <c r="T94"/>
    </row>
    <row r="95" spans="1:20">
      <c r="A95" s="35"/>
      <c r="B95" s="772"/>
      <c r="O95"/>
      <c r="P95"/>
      <c r="Q95"/>
      <c r="R95"/>
      <c r="S95"/>
      <c r="T95"/>
    </row>
    <row r="96" spans="1:20">
      <c r="A96" s="35"/>
      <c r="B96" s="779" t="s">
        <v>183</v>
      </c>
      <c r="C96" s="154" t="s">
        <v>128</v>
      </c>
      <c r="D96" s="94">
        <f>D92*D94</f>
        <v>1.3437214567298073</v>
      </c>
      <c r="E96" s="95">
        <f t="shared" ref="E96:K96" si="27">E92*E94</f>
        <v>-8.3627017152846808</v>
      </c>
      <c r="F96" s="95">
        <f t="shared" si="27"/>
        <v>1.1507646213832829</v>
      </c>
      <c r="G96" s="95">
        <f t="shared" si="27"/>
        <v>7.8199195421594441</v>
      </c>
      <c r="H96" s="95">
        <f t="shared" si="27"/>
        <v>2.2730178414589264</v>
      </c>
      <c r="I96" s="95">
        <f t="shared" si="27"/>
        <v>6.2464696743068098</v>
      </c>
      <c r="J96" s="95">
        <f t="shared" si="27"/>
        <v>-0.28066670464593246</v>
      </c>
      <c r="K96" s="95">
        <f t="shared" si="27"/>
        <v>2.5910475912823361</v>
      </c>
      <c r="L96" s="94">
        <f>SUM(D96:INDEX(D96:K96,0,MATCH('RFPR cover'!$C$7,$D$6:$K$6,0)))</f>
        <v>4.2247217464467806</v>
      </c>
      <c r="M96" s="96">
        <f>SUM(D96:K96)</f>
        <v>12.781572307389995</v>
      </c>
      <c r="O96"/>
      <c r="P96"/>
      <c r="Q96"/>
      <c r="R96"/>
      <c r="S96"/>
      <c r="T96"/>
    </row>
    <row r="97" spans="1:20">
      <c r="A97" s="35"/>
      <c r="B97" s="779" t="s">
        <v>280</v>
      </c>
      <c r="C97" s="154" t="s">
        <v>128</v>
      </c>
      <c r="D97" s="91">
        <f>D92*(1-D94)</f>
        <v>3.135350065702883</v>
      </c>
      <c r="E97" s="92">
        <f t="shared" ref="E97:K97" si="28">E92*(1-E94)</f>
        <v>-19.512970668997585</v>
      </c>
      <c r="F97" s="92">
        <f t="shared" si="28"/>
        <v>2.6851174498943262</v>
      </c>
      <c r="G97" s="92">
        <f t="shared" si="28"/>
        <v>18.246478931705365</v>
      </c>
      <c r="H97" s="92">
        <f t="shared" si="28"/>
        <v>5.3037082967374936</v>
      </c>
      <c r="I97" s="92">
        <f t="shared" si="28"/>
        <v>14.575095906715886</v>
      </c>
      <c r="J97" s="92">
        <f t="shared" si="28"/>
        <v>-0.65488897750717567</v>
      </c>
      <c r="K97" s="92">
        <f t="shared" si="28"/>
        <v>6.0457777129921162</v>
      </c>
      <c r="L97" s="91">
        <f>SUM(D97:INDEX(D97:K97,0,MATCH('RFPR cover'!$C$7,$D$6:$K$6,0)))</f>
        <v>9.8576840750424832</v>
      </c>
      <c r="M97" s="93">
        <f>SUM(D97:K97)</f>
        <v>29.823668717243308</v>
      </c>
      <c r="O97"/>
      <c r="P97"/>
      <c r="Q97"/>
      <c r="R97"/>
      <c r="S97"/>
      <c r="T97"/>
    </row>
    <row r="98" spans="1:20">
      <c r="A98" s="35"/>
      <c r="B98" s="772"/>
      <c r="O98"/>
      <c r="P98"/>
      <c r="Q98"/>
      <c r="R98"/>
      <c r="S98"/>
      <c r="T98"/>
    </row>
    <row r="99" spans="1:20">
      <c r="A99" s="35"/>
      <c r="B99" s="780" t="s">
        <v>182</v>
      </c>
      <c r="N99" s="63"/>
      <c r="O99"/>
      <c r="P99"/>
      <c r="Q99"/>
      <c r="R99"/>
      <c r="S99"/>
      <c r="T99"/>
    </row>
    <row r="100" spans="1:20">
      <c r="A100" s="268" t="s">
        <v>151</v>
      </c>
      <c r="B100" s="224" t="str">
        <f t="shared" ref="B100:B105" si="29">B22</f>
        <v>Pensions prepayment (See Appendices within RFPR commentary documentation)</v>
      </c>
      <c r="C100" s="154" t="s">
        <v>128</v>
      </c>
      <c r="D100" s="591">
        <f t="shared" ref="D100:K105" si="30">D22*D$86</f>
        <v>0</v>
      </c>
      <c r="E100" s="591">
        <f t="shared" si="30"/>
        <v>15.938230381232177</v>
      </c>
      <c r="F100" s="591">
        <f t="shared" si="30"/>
        <v>-15.396172761025372</v>
      </c>
      <c r="G100" s="591">
        <f t="shared" si="30"/>
        <v>-0.54205762020680481</v>
      </c>
      <c r="H100" s="591">
        <f t="shared" si="30"/>
        <v>0</v>
      </c>
      <c r="I100" s="591">
        <f t="shared" si="30"/>
        <v>0</v>
      </c>
      <c r="J100" s="591">
        <f t="shared" si="30"/>
        <v>0</v>
      </c>
      <c r="K100" s="591">
        <f t="shared" si="30"/>
        <v>0</v>
      </c>
      <c r="L100" s="583">
        <f>SUM(D100:INDEX(D100:K100,0,MATCH('RFPR cover'!$C$7,$D$6:$K$6,0)))</f>
        <v>0</v>
      </c>
      <c r="M100" s="584">
        <f t="shared" ref="M100:M106" si="31">SUM(D100:K100)</f>
        <v>0</v>
      </c>
      <c r="N100" s="63"/>
      <c r="O100"/>
      <c r="P100"/>
      <c r="Q100"/>
      <c r="R100"/>
      <c r="S100"/>
      <c r="T100"/>
    </row>
    <row r="101" spans="1:20">
      <c r="A101" s="268" t="s">
        <v>152</v>
      </c>
      <c r="B101" s="224" t="str">
        <f t="shared" si="29"/>
        <v>Rail Electrification (See Appendices within RFRS commentary documentation)</v>
      </c>
      <c r="C101" s="154" t="s">
        <v>128</v>
      </c>
      <c r="D101" s="591">
        <f t="shared" si="30"/>
        <v>0</v>
      </c>
      <c r="E101" s="591">
        <f t="shared" si="30"/>
        <v>0</v>
      </c>
      <c r="F101" s="591">
        <f t="shared" si="30"/>
        <v>-9.8321778426762236</v>
      </c>
      <c r="G101" s="591">
        <f t="shared" si="30"/>
        <v>3.7419167371090447</v>
      </c>
      <c r="H101" s="591">
        <f t="shared" si="30"/>
        <v>3.838783812341505</v>
      </c>
      <c r="I101" s="591">
        <f t="shared" si="30"/>
        <v>3.7208352922039425</v>
      </c>
      <c r="J101" s="591">
        <f t="shared" si="30"/>
        <v>2.8291711009981424</v>
      </c>
      <c r="K101" s="591">
        <f t="shared" si="30"/>
        <v>-3.9048375176700012</v>
      </c>
      <c r="L101" s="587">
        <f>SUM(D101:INDEX(D101:K101,0,MATCH('RFPR cover'!$C$7,$D$6:$K$6,0)))</f>
        <v>-2.2514772932256739</v>
      </c>
      <c r="M101" s="588">
        <f t="shared" si="31"/>
        <v>0.39369158230641021</v>
      </c>
      <c r="N101" s="63"/>
      <c r="O101"/>
      <c r="P101"/>
      <c r="Q101"/>
      <c r="R101"/>
      <c r="S101"/>
      <c r="T101"/>
    </row>
    <row r="102" spans="1:20">
      <c r="A102" s="268" t="s">
        <v>153</v>
      </c>
      <c r="B102" s="224" t="str">
        <f t="shared" si="29"/>
        <v>TIM neutral and Smart meter adjustments to Totex allowance</v>
      </c>
      <c r="C102" s="154" t="s">
        <v>128</v>
      </c>
      <c r="D102" s="591">
        <f t="shared" si="30"/>
        <v>0</v>
      </c>
      <c r="E102" s="591">
        <f t="shared" si="30"/>
        <v>0</v>
      </c>
      <c r="F102" s="591">
        <f t="shared" si="30"/>
        <v>0</v>
      </c>
      <c r="G102" s="591">
        <f t="shared" si="30"/>
        <v>0</v>
      </c>
      <c r="H102" s="591">
        <f t="shared" si="30"/>
        <v>-0.61914499461212624</v>
      </c>
      <c r="I102" s="591">
        <f t="shared" si="30"/>
        <v>0.24044377315507323</v>
      </c>
      <c r="J102" s="591">
        <f t="shared" si="30"/>
        <v>3.1761199599301335</v>
      </c>
      <c r="K102" s="591">
        <f t="shared" si="30"/>
        <v>2.3762080035165014</v>
      </c>
      <c r="L102" s="587">
        <f>SUM(D102:INDEX(D102:K102,0,MATCH('RFPR cover'!$C$7,$D$6:$K$6,0)))</f>
        <v>-0.61914499461212624</v>
      </c>
      <c r="M102" s="588">
        <f t="shared" si="31"/>
        <v>5.1736267419895814</v>
      </c>
      <c r="N102" s="63"/>
      <c r="O102"/>
      <c r="P102"/>
      <c r="Q102"/>
      <c r="R102"/>
      <c r="S102" s="65"/>
      <c r="T102"/>
    </row>
    <row r="103" spans="1:20">
      <c r="A103" s="268" t="s">
        <v>168</v>
      </c>
      <c r="B103" s="224" t="str">
        <f t="shared" si="29"/>
        <v>[Enduring Value adjustment]</v>
      </c>
      <c r="C103" s="154" t="s">
        <v>128</v>
      </c>
      <c r="D103" s="591">
        <f t="shared" si="30"/>
        <v>0</v>
      </c>
      <c r="E103" s="591">
        <f t="shared" si="30"/>
        <v>0</v>
      </c>
      <c r="F103" s="591">
        <f t="shared" si="30"/>
        <v>0</v>
      </c>
      <c r="G103" s="591">
        <f t="shared" si="30"/>
        <v>0</v>
      </c>
      <c r="H103" s="591">
        <f t="shared" si="30"/>
        <v>0</v>
      </c>
      <c r="I103" s="591">
        <f t="shared" si="30"/>
        <v>0</v>
      </c>
      <c r="J103" s="591">
        <f t="shared" si="30"/>
        <v>0</v>
      </c>
      <c r="K103" s="591">
        <f t="shared" si="30"/>
        <v>0</v>
      </c>
      <c r="L103" s="587">
        <f>SUM(D103:INDEX(D103:K103,0,MATCH('RFPR cover'!$C$7,$D$6:$K$6,0)))</f>
        <v>0</v>
      </c>
      <c r="M103" s="588">
        <f t="shared" si="31"/>
        <v>0</v>
      </c>
      <c r="N103" s="63"/>
      <c r="O103"/>
      <c r="P103"/>
      <c r="Q103"/>
      <c r="R103"/>
      <c r="S103"/>
      <c r="T103"/>
    </row>
    <row r="104" spans="1:20">
      <c r="A104" s="268" t="s">
        <v>169</v>
      </c>
      <c r="B104" s="224" t="str">
        <f t="shared" si="29"/>
        <v>[Enduring Value adjustment]</v>
      </c>
      <c r="C104" s="154" t="s">
        <v>128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3"/>
      <c r="O104"/>
      <c r="P104"/>
      <c r="Q104"/>
      <c r="R104"/>
      <c r="S104"/>
      <c r="T104"/>
    </row>
    <row r="105" spans="1:20">
      <c r="A105" s="268" t="s">
        <v>170</v>
      </c>
      <c r="B105" s="224" t="str">
        <f t="shared" si="29"/>
        <v>[Enduring Value adjustment]</v>
      </c>
      <c r="C105" s="154" t="s">
        <v>128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3"/>
      <c r="O105"/>
      <c r="P105"/>
      <c r="Q105"/>
      <c r="R105"/>
      <c r="S105"/>
      <c r="T105"/>
    </row>
    <row r="106" spans="1:20">
      <c r="A106" s="35"/>
      <c r="B106" s="780" t="s">
        <v>190</v>
      </c>
      <c r="C106" s="154" t="s">
        <v>128</v>
      </c>
      <c r="D106" s="101">
        <f>SUM(D100:D105)</f>
        <v>0</v>
      </c>
      <c r="E106" s="102">
        <f t="shared" ref="E106:K106" si="32">SUM(E100:E105)</f>
        <v>15.938230381232177</v>
      </c>
      <c r="F106" s="102">
        <f t="shared" si="32"/>
        <v>-25.228350603701596</v>
      </c>
      <c r="G106" s="102">
        <f t="shared" si="32"/>
        <v>3.1998591169022399</v>
      </c>
      <c r="H106" s="102">
        <f t="shared" si="32"/>
        <v>3.2196388177293787</v>
      </c>
      <c r="I106" s="102">
        <f t="shared" si="32"/>
        <v>3.9612790653590157</v>
      </c>
      <c r="J106" s="102">
        <f t="shared" si="32"/>
        <v>6.0052910609282755</v>
      </c>
      <c r="K106" s="103">
        <f t="shared" si="32"/>
        <v>-1.5286295141534998</v>
      </c>
      <c r="L106" s="101">
        <f>SUM(D106:INDEX(D106:K106,0,MATCH('RFPR cover'!$C$7,$D$6:$K$6,0)))</f>
        <v>-2.8706222878378003</v>
      </c>
      <c r="M106" s="103">
        <f t="shared" si="31"/>
        <v>5.5673183242959912</v>
      </c>
      <c r="N106" s="63"/>
    </row>
    <row r="107" spans="1:20">
      <c r="A107" s="35"/>
      <c r="B107" s="772"/>
    </row>
    <row r="108" spans="1:20">
      <c r="A108" s="35"/>
      <c r="B108" s="779" t="s">
        <v>198</v>
      </c>
      <c r="C108" s="154" t="s">
        <v>128</v>
      </c>
      <c r="D108" s="94">
        <f t="shared" ref="D108:K108" si="33">D106*D94</f>
        <v>0</v>
      </c>
      <c r="E108" s="95">
        <f t="shared" si="33"/>
        <v>4.7814691143696537</v>
      </c>
      <c r="F108" s="95">
        <f t="shared" si="33"/>
        <v>-7.5685051811104795</v>
      </c>
      <c r="G108" s="95">
        <f t="shared" si="33"/>
        <v>0.95995773507067206</v>
      </c>
      <c r="H108" s="95">
        <f t="shared" si="33"/>
        <v>0.96589164531881377</v>
      </c>
      <c r="I108" s="95">
        <f t="shared" si="33"/>
        <v>1.1883837196077049</v>
      </c>
      <c r="J108" s="95">
        <f t="shared" si="33"/>
        <v>1.801587318278483</v>
      </c>
      <c r="K108" s="95">
        <f t="shared" si="33"/>
        <v>-0.45858885424605</v>
      </c>
      <c r="L108" s="94">
        <f>SUM(D108:INDEX(D108:K108,0,MATCH('RFPR cover'!$C$7,$D$6:$K$6,0)))</f>
        <v>-0.86118668635133999</v>
      </c>
      <c r="M108" s="96">
        <f>SUM(D108:K108)</f>
        <v>1.6701954972887978</v>
      </c>
    </row>
    <row r="109" spans="1:20">
      <c r="A109" s="35"/>
      <c r="B109" s="779" t="s">
        <v>309</v>
      </c>
      <c r="C109" s="154" t="s">
        <v>128</v>
      </c>
      <c r="D109" s="91">
        <f t="shared" ref="D109:K109" si="34">D106*(1-D94)</f>
        <v>0</v>
      </c>
      <c r="E109" s="92">
        <f t="shared" si="34"/>
        <v>11.156761266862523</v>
      </c>
      <c r="F109" s="92">
        <f t="shared" si="34"/>
        <v>-17.659845422591115</v>
      </c>
      <c r="G109" s="92">
        <f t="shared" si="34"/>
        <v>2.2399013818315678</v>
      </c>
      <c r="H109" s="92">
        <f t="shared" si="34"/>
        <v>2.2537471724105651</v>
      </c>
      <c r="I109" s="92">
        <f t="shared" si="34"/>
        <v>2.7728953457513108</v>
      </c>
      <c r="J109" s="92">
        <f t="shared" si="34"/>
        <v>4.2037037426497923</v>
      </c>
      <c r="K109" s="92">
        <f t="shared" si="34"/>
        <v>-1.0700406599074497</v>
      </c>
      <c r="L109" s="91">
        <f>SUM(D109:INDEX(D109:K109,0,MATCH('RFPR cover'!$C$7,$D$6:$K$6,0)))</f>
        <v>-2.0094356014864592</v>
      </c>
      <c r="M109" s="93">
        <f>SUM(D109:K109)</f>
        <v>3.8971228270071943</v>
      </c>
    </row>
    <row r="110" spans="1:20">
      <c r="A110" s="35"/>
      <c r="B110" s="772"/>
    </row>
    <row r="111" spans="1:20">
      <c r="A111" s="35"/>
      <c r="B111" s="780" t="s">
        <v>181</v>
      </c>
    </row>
    <row r="112" spans="1:20">
      <c r="A112" s="35"/>
      <c r="B112" s="772" t="s">
        <v>180</v>
      </c>
      <c r="C112" s="154" t="s">
        <v>128</v>
      </c>
      <c r="D112" s="94">
        <f>D96+D108</f>
        <v>1.3437214567298073</v>
      </c>
      <c r="E112" s="95">
        <f t="shared" ref="E112:K112" si="35">E96+E108</f>
        <v>-3.581232600915027</v>
      </c>
      <c r="F112" s="95">
        <f t="shared" si="35"/>
        <v>-6.4177405597271964</v>
      </c>
      <c r="G112" s="95">
        <f t="shared" si="35"/>
        <v>8.779877277230117</v>
      </c>
      <c r="H112" s="95">
        <f t="shared" si="35"/>
        <v>3.2389094867777404</v>
      </c>
      <c r="I112" s="95">
        <f t="shared" si="35"/>
        <v>7.4348533939145147</v>
      </c>
      <c r="J112" s="95">
        <f t="shared" si="35"/>
        <v>1.5209206136325504</v>
      </c>
      <c r="K112" s="95">
        <f t="shared" si="35"/>
        <v>2.132458737036286</v>
      </c>
      <c r="L112" s="94">
        <f>SUM(D112:INDEX(D112:K112,0,MATCH('RFPR cover'!$C$7,$D$6:$K$6,0)))</f>
        <v>3.3635350600954412</v>
      </c>
      <c r="M112" s="96">
        <f>SUM(D112:K112)</f>
        <v>14.451767804678793</v>
      </c>
    </row>
    <row r="113" spans="1:20">
      <c r="A113" s="35"/>
      <c r="B113" s="772" t="s">
        <v>280</v>
      </c>
      <c r="C113" s="154" t="s">
        <v>128</v>
      </c>
      <c r="D113" s="520">
        <f>D97+D109</f>
        <v>3.135350065702883</v>
      </c>
      <c r="E113" s="521">
        <f t="shared" ref="E113:K113" si="36">E97+E109</f>
        <v>-8.3562094021350628</v>
      </c>
      <c r="F113" s="521">
        <f t="shared" si="36"/>
        <v>-14.974727972696789</v>
      </c>
      <c r="G113" s="521">
        <f t="shared" si="36"/>
        <v>20.486380313536934</v>
      </c>
      <c r="H113" s="521">
        <f t="shared" si="36"/>
        <v>7.5574554691480582</v>
      </c>
      <c r="I113" s="521">
        <f t="shared" si="36"/>
        <v>17.347991252467196</v>
      </c>
      <c r="J113" s="521">
        <f t="shared" si="36"/>
        <v>3.5488147651426165</v>
      </c>
      <c r="K113" s="521">
        <f t="shared" si="36"/>
        <v>4.9757370530846661</v>
      </c>
      <c r="L113" s="520">
        <f>SUM(D113:INDEX(D113:K113,0,MATCH('RFPR cover'!$C$7,$D$6:$K$6,0)))</f>
        <v>7.8482484735560245</v>
      </c>
      <c r="M113" s="522">
        <f>SUM(D113:K113)</f>
        <v>33.720791544250503</v>
      </c>
    </row>
    <row r="114" spans="1:20">
      <c r="A114" s="35"/>
      <c r="B114" s="780" t="s">
        <v>11</v>
      </c>
      <c r="C114" s="155" t="s">
        <v>128</v>
      </c>
      <c r="D114" s="144">
        <f>SUM(D112:D113)</f>
        <v>4.4790715224326902</v>
      </c>
      <c r="E114" s="145">
        <f t="shared" ref="E114:K114" si="37">SUM(E112:E113)</f>
        <v>-11.937442003050091</v>
      </c>
      <c r="F114" s="145">
        <f t="shared" si="37"/>
        <v>-21.392468532423983</v>
      </c>
      <c r="G114" s="145">
        <f t="shared" si="37"/>
        <v>29.266257590767051</v>
      </c>
      <c r="H114" s="145">
        <f t="shared" si="37"/>
        <v>10.796364955925799</v>
      </c>
      <c r="I114" s="145">
        <f t="shared" si="37"/>
        <v>24.782844646381712</v>
      </c>
      <c r="J114" s="145">
        <f t="shared" si="37"/>
        <v>5.0697353787751673</v>
      </c>
      <c r="K114" s="145">
        <f t="shared" si="37"/>
        <v>7.108195790120952</v>
      </c>
      <c r="L114" s="144">
        <f>SUM(D114:INDEX(D114:K114,0,MATCH('RFPR cover'!$C$7,$D$6:$K$6,0)))</f>
        <v>11.211783533651467</v>
      </c>
      <c r="M114" s="146">
        <f>SUM(D114:K114)</f>
        <v>48.17255934892929</v>
      </c>
    </row>
    <row r="115" spans="1:20">
      <c r="A115" s="35"/>
      <c r="B115" s="772"/>
    </row>
    <row r="116" spans="1:20">
      <c r="A116" s="35"/>
      <c r="B116" s="775" t="str">
        <f>B38</f>
        <v>n/a</v>
      </c>
      <c r="C116" s="149"/>
      <c r="D116" s="82"/>
      <c r="E116" s="82"/>
      <c r="F116" s="82"/>
      <c r="G116" s="82"/>
      <c r="H116" s="82"/>
      <c r="I116" s="82"/>
      <c r="J116" s="82"/>
      <c r="K116" s="82"/>
      <c r="L116" s="82"/>
      <c r="M116" s="82"/>
      <c r="N116" s="82"/>
    </row>
    <row r="117" spans="1:20" s="35" customFormat="1">
      <c r="B117" s="773"/>
      <c r="C117" s="137"/>
      <c r="D117" s="319"/>
      <c r="E117" s="319"/>
      <c r="F117" s="319"/>
      <c r="G117" s="319"/>
      <c r="H117" s="319"/>
      <c r="I117" s="319"/>
      <c r="J117" s="319"/>
      <c r="K117" s="319"/>
      <c r="L117" s="319"/>
      <c r="M117" s="319"/>
      <c r="N117" s="319"/>
    </row>
    <row r="118" spans="1:20">
      <c r="A118" s="35"/>
      <c r="B118" s="304" t="s">
        <v>34</v>
      </c>
      <c r="C118" s="154" t="s">
        <v>128</v>
      </c>
      <c r="D118" s="670">
        <f t="shared" ref="D118:K119" si="38">D40*D$86</f>
        <v>0</v>
      </c>
      <c r="E118" s="670">
        <f t="shared" si="38"/>
        <v>0</v>
      </c>
      <c r="F118" s="670">
        <f t="shared" si="38"/>
        <v>0</v>
      </c>
      <c r="G118" s="670">
        <f t="shared" si="38"/>
        <v>0</v>
      </c>
      <c r="H118" s="670">
        <f t="shared" si="38"/>
        <v>0</v>
      </c>
      <c r="I118" s="670">
        <f t="shared" si="38"/>
        <v>0</v>
      </c>
      <c r="J118" s="670">
        <f t="shared" si="38"/>
        <v>0</v>
      </c>
      <c r="K118" s="670">
        <f t="shared" si="38"/>
        <v>0</v>
      </c>
      <c r="L118" s="670">
        <f>SUM(D118:INDEX(D118:K118,0,MATCH('RFPR cover'!$C$7,$D$6:$K$6,0)))</f>
        <v>0</v>
      </c>
      <c r="M118" s="671">
        <f>SUM(D118:K118)</f>
        <v>0</v>
      </c>
      <c r="N118" s="63"/>
      <c r="O118" s="63"/>
    </row>
    <row r="119" spans="1:20" ht="25.2">
      <c r="A119" s="35"/>
      <c r="B119" s="777" t="s">
        <v>197</v>
      </c>
      <c r="C119" s="154" t="s">
        <v>128</v>
      </c>
      <c r="D119" s="670">
        <f t="shared" si="38"/>
        <v>0</v>
      </c>
      <c r="E119" s="670">
        <f t="shared" si="38"/>
        <v>0</v>
      </c>
      <c r="F119" s="670">
        <f t="shared" si="38"/>
        <v>0</v>
      </c>
      <c r="G119" s="670">
        <f t="shared" si="38"/>
        <v>0</v>
      </c>
      <c r="H119" s="670">
        <f t="shared" si="38"/>
        <v>0</v>
      </c>
      <c r="I119" s="670">
        <f t="shared" si="38"/>
        <v>0</v>
      </c>
      <c r="J119" s="670">
        <f t="shared" si="38"/>
        <v>0</v>
      </c>
      <c r="K119" s="670">
        <f t="shared" si="38"/>
        <v>0</v>
      </c>
      <c r="L119" s="672">
        <f>SUM(D119:INDEX(D119:K119,0,MATCH('RFPR cover'!$C$7,$D$6:$K$6,0)))</f>
        <v>0</v>
      </c>
      <c r="M119" s="673">
        <f>SUM(D119:K119)</f>
        <v>0</v>
      </c>
      <c r="N119" s="63"/>
      <c r="O119" s="63"/>
    </row>
    <row r="120" spans="1:20">
      <c r="A120" s="35"/>
      <c r="B120" s="778" t="s">
        <v>195</v>
      </c>
      <c r="C120" s="154" t="s">
        <v>128</v>
      </c>
      <c r="D120" s="101">
        <f>D119-D118</f>
        <v>0</v>
      </c>
      <c r="E120" s="102">
        <f t="shared" ref="E120:M120" si="39">E119-E118</f>
        <v>0</v>
      </c>
      <c r="F120" s="102">
        <f t="shared" si="39"/>
        <v>0</v>
      </c>
      <c r="G120" s="102">
        <f t="shared" si="39"/>
        <v>0</v>
      </c>
      <c r="H120" s="102">
        <f t="shared" si="39"/>
        <v>0</v>
      </c>
      <c r="I120" s="102">
        <f t="shared" si="39"/>
        <v>0</v>
      </c>
      <c r="J120" s="102">
        <f t="shared" si="39"/>
        <v>0</v>
      </c>
      <c r="K120" s="102">
        <f t="shared" si="39"/>
        <v>0</v>
      </c>
      <c r="L120" s="101">
        <f t="shared" si="39"/>
        <v>0</v>
      </c>
      <c r="M120" s="103">
        <f t="shared" si="39"/>
        <v>0</v>
      </c>
      <c r="N120" s="63"/>
      <c r="O120" s="1011"/>
      <c r="P120" s="1011"/>
      <c r="Q120" s="1011"/>
      <c r="R120"/>
      <c r="S120"/>
      <c r="T120"/>
    </row>
    <row r="121" spans="1:20" ht="13.2">
      <c r="A121" s="35"/>
      <c r="B121" s="778"/>
      <c r="C121" s="154"/>
      <c r="D121" s="59"/>
      <c r="E121" s="59"/>
      <c r="F121" s="59"/>
      <c r="G121" s="59"/>
      <c r="H121" s="59"/>
      <c r="I121" s="59"/>
      <c r="J121" s="59"/>
      <c r="K121" s="59"/>
      <c r="L121" s="59"/>
      <c r="M121" s="59"/>
      <c r="O121" s="64"/>
      <c r="P121" s="64"/>
      <c r="Q121" s="64"/>
      <c r="R121"/>
      <c r="S121"/>
      <c r="T121"/>
    </row>
    <row r="122" spans="1:20">
      <c r="A122" s="35"/>
      <c r="B122" s="772" t="s">
        <v>178</v>
      </c>
      <c r="C122" s="135" t="s">
        <v>7</v>
      </c>
      <c r="D122" s="108">
        <f>1-INDEX(Data!$D$73:$D$100,MATCH('RFPR cover'!$C$5,Data!$B$73:$B$100,0),0)</f>
        <v>0.30000000000000004</v>
      </c>
      <c r="E122" s="109">
        <f>1-INDEX(Data!$D$73:$D$100,MATCH('RFPR cover'!$C$5,Data!$B$73:$B$100,0),0)</f>
        <v>0.30000000000000004</v>
      </c>
      <c r="F122" s="109">
        <f>1-INDEX(Data!$D$73:$D$100,MATCH('RFPR cover'!$C$5,Data!$B$73:$B$100,0),0)</f>
        <v>0.30000000000000004</v>
      </c>
      <c r="G122" s="109">
        <f>1-INDEX(Data!$D$73:$D$100,MATCH('RFPR cover'!$C$5,Data!$B$73:$B$100,0),0)</f>
        <v>0.30000000000000004</v>
      </c>
      <c r="H122" s="109">
        <f>1-INDEX(Data!$D$73:$D$100,MATCH('RFPR cover'!$C$5,Data!$B$73:$B$100,0),0)</f>
        <v>0.30000000000000004</v>
      </c>
      <c r="I122" s="109">
        <f>1-INDEX(Data!$D$73:$D$100,MATCH('RFPR cover'!$C$5,Data!$B$73:$B$100,0),0)</f>
        <v>0.30000000000000004</v>
      </c>
      <c r="J122" s="109">
        <f>1-INDEX(Data!$D$73:$D$100,MATCH('RFPR cover'!$C$5,Data!$B$73:$B$100,0),0)</f>
        <v>0.30000000000000004</v>
      </c>
      <c r="K122" s="110">
        <f>1-INDEX(Data!$D$73:$D$100,MATCH('RFPR cover'!$C$5,Data!$B$73:$B$100,0),0)</f>
        <v>0.30000000000000004</v>
      </c>
      <c r="L122" s="62"/>
      <c r="M122" s="62"/>
      <c r="O122"/>
      <c r="P122"/>
      <c r="Q122"/>
      <c r="R122"/>
      <c r="S122"/>
      <c r="T122"/>
    </row>
    <row r="123" spans="1:20">
      <c r="A123" s="35"/>
      <c r="B123" s="772"/>
      <c r="O123"/>
      <c r="P123"/>
      <c r="Q123"/>
      <c r="R123"/>
      <c r="S123"/>
      <c r="T123"/>
    </row>
    <row r="124" spans="1:20">
      <c r="A124" s="35"/>
      <c r="B124" s="779" t="s">
        <v>183</v>
      </c>
      <c r="C124" s="158" t="s">
        <v>128</v>
      </c>
      <c r="D124" s="94">
        <f>D120*D122</f>
        <v>0</v>
      </c>
      <c r="E124" s="95">
        <f t="shared" ref="E124:K124" si="40">E120*E122</f>
        <v>0</v>
      </c>
      <c r="F124" s="95">
        <f t="shared" si="40"/>
        <v>0</v>
      </c>
      <c r="G124" s="95">
        <f t="shared" si="40"/>
        <v>0</v>
      </c>
      <c r="H124" s="95">
        <f t="shared" si="40"/>
        <v>0</v>
      </c>
      <c r="I124" s="95">
        <f t="shared" si="40"/>
        <v>0</v>
      </c>
      <c r="J124" s="95">
        <f t="shared" si="40"/>
        <v>0</v>
      </c>
      <c r="K124" s="95">
        <f t="shared" si="40"/>
        <v>0</v>
      </c>
      <c r="L124" s="94">
        <f>SUM(D124:INDEX(D124:K124,0,MATCH('RFPR cover'!$C$7,$D$6:$K$6,0)))</f>
        <v>0</v>
      </c>
      <c r="M124" s="96">
        <f>SUM(D124:K124)</f>
        <v>0</v>
      </c>
      <c r="O124"/>
      <c r="P124"/>
      <c r="Q124"/>
      <c r="R124"/>
      <c r="S124"/>
      <c r="T124"/>
    </row>
    <row r="125" spans="1:20">
      <c r="A125" s="35"/>
      <c r="B125" s="779" t="s">
        <v>179</v>
      </c>
      <c r="C125" s="158" t="s">
        <v>128</v>
      </c>
      <c r="D125" s="91">
        <f>D120*(1-D122)</f>
        <v>0</v>
      </c>
      <c r="E125" s="92">
        <f t="shared" ref="E125:K125" si="41">E120*(1-E122)</f>
        <v>0</v>
      </c>
      <c r="F125" s="92">
        <f t="shared" si="41"/>
        <v>0</v>
      </c>
      <c r="G125" s="92">
        <f t="shared" si="41"/>
        <v>0</v>
      </c>
      <c r="H125" s="92">
        <f t="shared" si="41"/>
        <v>0</v>
      </c>
      <c r="I125" s="92">
        <f t="shared" si="41"/>
        <v>0</v>
      </c>
      <c r="J125" s="92">
        <f t="shared" si="41"/>
        <v>0</v>
      </c>
      <c r="K125" s="92">
        <f t="shared" si="41"/>
        <v>0</v>
      </c>
      <c r="L125" s="91">
        <f>SUM(D125:INDEX(D125:K125,0,MATCH('RFPR cover'!$C$7,$D$6:$K$6,0)))</f>
        <v>0</v>
      </c>
      <c r="M125" s="93">
        <f>SUM(D125:K125)</f>
        <v>0</v>
      </c>
      <c r="O125"/>
      <c r="P125"/>
      <c r="Q125"/>
      <c r="R125"/>
      <c r="S125"/>
      <c r="T125"/>
    </row>
    <row r="126" spans="1:20">
      <c r="A126" s="35"/>
      <c r="B126" s="772"/>
      <c r="O126"/>
      <c r="P126"/>
      <c r="Q126"/>
      <c r="R126"/>
      <c r="S126"/>
      <c r="T126"/>
    </row>
    <row r="127" spans="1:20">
      <c r="A127" s="35"/>
      <c r="B127" s="780" t="s">
        <v>182</v>
      </c>
      <c r="N127" s="63"/>
      <c r="O127"/>
      <c r="P127"/>
      <c r="Q127"/>
      <c r="R127"/>
      <c r="S127"/>
      <c r="T127"/>
    </row>
    <row r="128" spans="1:20">
      <c r="A128" s="268" t="s">
        <v>151</v>
      </c>
      <c r="B128" s="224" t="str">
        <f t="shared" ref="B128:B133" si="42">B50</f>
        <v>[Enduring Value adjustment]</v>
      </c>
      <c r="C128" s="154" t="s">
        <v>128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3"/>
      <c r="O128"/>
      <c r="P128"/>
      <c r="Q128"/>
      <c r="R128"/>
      <c r="S128"/>
      <c r="T128"/>
    </row>
    <row r="129" spans="1:20">
      <c r="A129" s="268" t="s">
        <v>152</v>
      </c>
      <c r="B129" s="224" t="str">
        <f t="shared" si="42"/>
        <v>[Enduring Value adjustment]</v>
      </c>
      <c r="C129" s="154" t="s">
        <v>128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3"/>
      <c r="O129"/>
      <c r="P129"/>
      <c r="Q129"/>
      <c r="R129"/>
      <c r="S129"/>
      <c r="T129"/>
    </row>
    <row r="130" spans="1:20">
      <c r="A130" s="268" t="s">
        <v>153</v>
      </c>
      <c r="B130" s="224" t="str">
        <f t="shared" si="42"/>
        <v>[Enduring Value adjustment]</v>
      </c>
      <c r="C130" s="154" t="s">
        <v>128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3"/>
      <c r="O130"/>
      <c r="P130"/>
      <c r="Q130"/>
      <c r="R130"/>
      <c r="S130" s="65"/>
      <c r="T130"/>
    </row>
    <row r="131" spans="1:20">
      <c r="A131" s="268" t="s">
        <v>168</v>
      </c>
      <c r="B131" s="224" t="str">
        <f t="shared" si="42"/>
        <v>[Enduring Value adjustment]</v>
      </c>
      <c r="C131" s="154" t="s">
        <v>128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3"/>
      <c r="O131"/>
      <c r="P131"/>
      <c r="Q131"/>
      <c r="R131"/>
      <c r="S131"/>
      <c r="T131"/>
    </row>
    <row r="132" spans="1:20">
      <c r="A132" s="268" t="s">
        <v>169</v>
      </c>
      <c r="B132" s="224" t="str">
        <f t="shared" si="42"/>
        <v>[Enduring Value adjustment]</v>
      </c>
      <c r="C132" s="154" t="s">
        <v>128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3"/>
      <c r="O132"/>
      <c r="P132"/>
      <c r="Q132"/>
      <c r="R132"/>
      <c r="S132"/>
      <c r="T132"/>
    </row>
    <row r="133" spans="1:20">
      <c r="A133" s="268" t="s">
        <v>170</v>
      </c>
      <c r="B133" s="224" t="str">
        <f t="shared" si="42"/>
        <v>[Enduring Value adjustment]</v>
      </c>
      <c r="C133" s="154" t="s">
        <v>128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3"/>
      <c r="O133"/>
      <c r="P133"/>
      <c r="Q133"/>
      <c r="R133"/>
      <c r="S133"/>
      <c r="T133"/>
    </row>
    <row r="134" spans="1:20">
      <c r="A134" s="35"/>
      <c r="B134" s="780" t="s">
        <v>190</v>
      </c>
      <c r="C134" s="154" t="s">
        <v>128</v>
      </c>
      <c r="D134" s="101">
        <f>SUM(D128:D133)</f>
        <v>0</v>
      </c>
      <c r="E134" s="102">
        <f t="shared" ref="E134:K134" si="45">SUM(E128:E133)</f>
        <v>0</v>
      </c>
      <c r="F134" s="102">
        <f t="shared" si="45"/>
        <v>0</v>
      </c>
      <c r="G134" s="102">
        <f t="shared" si="45"/>
        <v>0</v>
      </c>
      <c r="H134" s="102">
        <f t="shared" si="45"/>
        <v>0</v>
      </c>
      <c r="I134" s="102">
        <f t="shared" si="45"/>
        <v>0</v>
      </c>
      <c r="J134" s="102">
        <f t="shared" si="45"/>
        <v>0</v>
      </c>
      <c r="K134" s="102">
        <f t="shared" si="45"/>
        <v>0</v>
      </c>
      <c r="L134" s="101">
        <f>SUM(D134:INDEX(D134:K134,0,MATCH('RFPR cover'!$C$7,$D$6:$K$6,0)))</f>
        <v>0</v>
      </c>
      <c r="M134" s="103">
        <f t="shared" si="44"/>
        <v>0</v>
      </c>
      <c r="N134" s="63"/>
    </row>
    <row r="135" spans="1:20">
      <c r="A135" s="35"/>
      <c r="B135" s="772"/>
    </row>
    <row r="136" spans="1:20">
      <c r="A136" s="35"/>
      <c r="B136" s="779" t="s">
        <v>198</v>
      </c>
      <c r="C136" s="158" t="s">
        <v>128</v>
      </c>
      <c r="D136" s="94">
        <f t="shared" ref="D136:K136" si="46">D134*D122</f>
        <v>0</v>
      </c>
      <c r="E136" s="95">
        <f t="shared" si="46"/>
        <v>0</v>
      </c>
      <c r="F136" s="95">
        <f t="shared" si="46"/>
        <v>0</v>
      </c>
      <c r="G136" s="95">
        <f t="shared" si="46"/>
        <v>0</v>
      </c>
      <c r="H136" s="95">
        <f t="shared" si="46"/>
        <v>0</v>
      </c>
      <c r="I136" s="95">
        <f t="shared" si="46"/>
        <v>0</v>
      </c>
      <c r="J136" s="95">
        <f t="shared" si="46"/>
        <v>0</v>
      </c>
      <c r="K136" s="95">
        <f t="shared" si="46"/>
        <v>0</v>
      </c>
      <c r="L136" s="94">
        <f>SUM(D136:INDEX(D136:K136,0,MATCH('RFPR cover'!$C$7,$D$6:$K$6,0)))</f>
        <v>0</v>
      </c>
      <c r="M136" s="96">
        <f>SUM(D136:K136)</f>
        <v>0</v>
      </c>
    </row>
    <row r="137" spans="1:20">
      <c r="A137" s="35"/>
      <c r="B137" s="779" t="s">
        <v>309</v>
      </c>
      <c r="C137" s="158" t="s">
        <v>128</v>
      </c>
      <c r="D137" s="91">
        <f t="shared" ref="D137:K137" si="47">D134*(1-D122)</f>
        <v>0</v>
      </c>
      <c r="E137" s="92">
        <f t="shared" si="47"/>
        <v>0</v>
      </c>
      <c r="F137" s="92">
        <f t="shared" si="47"/>
        <v>0</v>
      </c>
      <c r="G137" s="92">
        <f t="shared" si="47"/>
        <v>0</v>
      </c>
      <c r="H137" s="92">
        <f t="shared" si="47"/>
        <v>0</v>
      </c>
      <c r="I137" s="92">
        <f t="shared" si="47"/>
        <v>0</v>
      </c>
      <c r="J137" s="92">
        <f t="shared" si="47"/>
        <v>0</v>
      </c>
      <c r="K137" s="92">
        <f t="shared" si="47"/>
        <v>0</v>
      </c>
      <c r="L137" s="91">
        <f>SUM(D137:INDEX(D137:K137,0,MATCH('RFPR cover'!$C$7,$D$6:$K$6,0)))</f>
        <v>0</v>
      </c>
      <c r="M137" s="93">
        <f>SUM(D137:K137)</f>
        <v>0</v>
      </c>
    </row>
    <row r="138" spans="1:20">
      <c r="A138" s="35"/>
      <c r="B138" s="772"/>
    </row>
    <row r="139" spans="1:20">
      <c r="A139" s="35"/>
      <c r="B139" s="780" t="s">
        <v>181</v>
      </c>
    </row>
    <row r="140" spans="1:20">
      <c r="A140" s="35"/>
      <c r="B140" s="772" t="s">
        <v>180</v>
      </c>
      <c r="C140" s="154" t="s">
        <v>128</v>
      </c>
      <c r="D140" s="94">
        <f>D124+D136</f>
        <v>0</v>
      </c>
      <c r="E140" s="95">
        <f t="shared" ref="E140:K140" si="48">E124+E136</f>
        <v>0</v>
      </c>
      <c r="F140" s="95">
        <f t="shared" si="48"/>
        <v>0</v>
      </c>
      <c r="G140" s="95">
        <f t="shared" si="48"/>
        <v>0</v>
      </c>
      <c r="H140" s="95">
        <f t="shared" si="48"/>
        <v>0</v>
      </c>
      <c r="I140" s="95">
        <f t="shared" si="48"/>
        <v>0</v>
      </c>
      <c r="J140" s="95">
        <f t="shared" si="48"/>
        <v>0</v>
      </c>
      <c r="K140" s="95">
        <f t="shared" si="48"/>
        <v>0</v>
      </c>
      <c r="L140" s="94">
        <f>SUM(D140:INDEX(D140:K140,0,MATCH('RFPR cover'!$C$7,$D$6:$K$6,0)))</f>
        <v>0</v>
      </c>
      <c r="M140" s="96">
        <f>SUM(D140:K140)</f>
        <v>0</v>
      </c>
    </row>
    <row r="141" spans="1:20">
      <c r="A141" s="35"/>
      <c r="B141" s="772" t="s">
        <v>280</v>
      </c>
      <c r="C141" s="154" t="s">
        <v>128</v>
      </c>
      <c r="D141" s="97">
        <f>D125+D137</f>
        <v>0</v>
      </c>
      <c r="E141" s="98">
        <f t="shared" ref="E141:K141" si="49">E125+E137</f>
        <v>0</v>
      </c>
      <c r="F141" s="98">
        <f t="shared" si="49"/>
        <v>0</v>
      </c>
      <c r="G141" s="98">
        <f t="shared" si="49"/>
        <v>0</v>
      </c>
      <c r="H141" s="98">
        <f t="shared" si="49"/>
        <v>0</v>
      </c>
      <c r="I141" s="98">
        <f t="shared" si="49"/>
        <v>0</v>
      </c>
      <c r="J141" s="98">
        <f t="shared" si="49"/>
        <v>0</v>
      </c>
      <c r="K141" s="98">
        <f t="shared" si="49"/>
        <v>0</v>
      </c>
      <c r="L141" s="97">
        <f>SUM(D141:INDEX(D141:K141,0,MATCH('RFPR cover'!$C$7,$D$6:$K$6,0)))</f>
        <v>0</v>
      </c>
      <c r="M141" s="99">
        <f>SUM(D141:K141)</f>
        <v>0</v>
      </c>
    </row>
    <row r="142" spans="1:20">
      <c r="A142" s="35"/>
      <c r="B142" s="780" t="s">
        <v>11</v>
      </c>
      <c r="C142" s="155" t="s">
        <v>128</v>
      </c>
      <c r="D142" s="138">
        <f>SUM(D140:D141)</f>
        <v>0</v>
      </c>
      <c r="E142" s="139">
        <f t="shared" ref="E142:K142" si="50">SUM(E140:E141)</f>
        <v>0</v>
      </c>
      <c r="F142" s="139">
        <f t="shared" si="50"/>
        <v>0</v>
      </c>
      <c r="G142" s="139">
        <f t="shared" si="50"/>
        <v>0</v>
      </c>
      <c r="H142" s="139">
        <f t="shared" si="50"/>
        <v>0</v>
      </c>
      <c r="I142" s="139">
        <f t="shared" si="50"/>
        <v>0</v>
      </c>
      <c r="J142" s="139">
        <f t="shared" si="50"/>
        <v>0</v>
      </c>
      <c r="K142" s="139">
        <f t="shared" si="50"/>
        <v>0</v>
      </c>
      <c r="L142" s="138">
        <f>SUM(D142:INDEX(D142:K142,0,MATCH('RFPR cover'!$C$7,$D$6:$K$6,0)))</f>
        <v>0</v>
      </c>
      <c r="M142" s="140">
        <f>SUM(D142:K142)</f>
        <v>0</v>
      </c>
    </row>
    <row r="143" spans="1:20">
      <c r="A143" s="35"/>
      <c r="B143" s="780"/>
      <c r="C143" s="155"/>
      <c r="D143" s="155"/>
      <c r="E143" s="155"/>
      <c r="F143" s="155"/>
      <c r="G143" s="155"/>
      <c r="H143" s="155"/>
      <c r="I143" s="155"/>
      <c r="J143" s="155"/>
      <c r="K143" s="155"/>
      <c r="L143" s="155"/>
      <c r="M143" s="155"/>
    </row>
    <row r="144" spans="1:20">
      <c r="A144" s="35"/>
      <c r="B144" s="775" t="s">
        <v>257</v>
      </c>
      <c r="C144" s="149"/>
      <c r="D144" s="82"/>
      <c r="E144" s="82"/>
      <c r="F144" s="82"/>
      <c r="G144" s="82"/>
      <c r="H144" s="82"/>
      <c r="I144" s="82"/>
      <c r="J144" s="82"/>
      <c r="K144" s="82"/>
      <c r="L144" s="82"/>
      <c r="M144" s="82"/>
      <c r="N144" s="82"/>
    </row>
    <row r="145" spans="1:20">
      <c r="A145" s="35"/>
      <c r="B145" s="772"/>
      <c r="O145"/>
      <c r="P145"/>
      <c r="Q145"/>
      <c r="R145"/>
      <c r="S145"/>
      <c r="T145"/>
    </row>
    <row r="146" spans="1:20">
      <c r="A146" s="35"/>
      <c r="B146" s="780" t="s">
        <v>181</v>
      </c>
    </row>
    <row r="147" spans="1:20">
      <c r="A147" s="35"/>
      <c r="B147" s="772" t="s">
        <v>180</v>
      </c>
      <c r="C147" s="154" t="s">
        <v>128</v>
      </c>
      <c r="D147" s="94">
        <f>D112+D140</f>
        <v>1.3437214567298073</v>
      </c>
      <c r="E147" s="95">
        <f t="shared" ref="E147:K147" si="51">E112+E140</f>
        <v>-3.581232600915027</v>
      </c>
      <c r="F147" s="95">
        <f t="shared" si="51"/>
        <v>-6.4177405597271964</v>
      </c>
      <c r="G147" s="95">
        <f t="shared" si="51"/>
        <v>8.779877277230117</v>
      </c>
      <c r="H147" s="95">
        <f t="shared" si="51"/>
        <v>3.2389094867777404</v>
      </c>
      <c r="I147" s="95">
        <f t="shared" si="51"/>
        <v>7.4348533939145147</v>
      </c>
      <c r="J147" s="95">
        <f t="shared" si="51"/>
        <v>1.5209206136325504</v>
      </c>
      <c r="K147" s="95">
        <f t="shared" si="51"/>
        <v>2.132458737036286</v>
      </c>
      <c r="L147" s="94">
        <f>SUM(D147:INDEX(D147:K147,0,MATCH('RFPR cover'!$C$7,$D$6:$K$6,0)))</f>
        <v>3.3635350600954412</v>
      </c>
      <c r="M147" s="96">
        <f>SUM(D147:K147)</f>
        <v>14.451767804678793</v>
      </c>
    </row>
    <row r="148" spans="1:20">
      <c r="A148" s="35"/>
      <c r="B148" s="772" t="s">
        <v>280</v>
      </c>
      <c r="C148" s="154" t="s">
        <v>128</v>
      </c>
      <c r="D148" s="97">
        <f t="shared" ref="D148:K148" si="52">D113+D141</f>
        <v>3.135350065702883</v>
      </c>
      <c r="E148" s="98">
        <f t="shared" si="52"/>
        <v>-8.3562094021350628</v>
      </c>
      <c r="F148" s="98">
        <f t="shared" si="52"/>
        <v>-14.974727972696789</v>
      </c>
      <c r="G148" s="98">
        <f t="shared" si="52"/>
        <v>20.486380313536934</v>
      </c>
      <c r="H148" s="98">
        <f t="shared" si="52"/>
        <v>7.5574554691480582</v>
      </c>
      <c r="I148" s="98">
        <f t="shared" si="52"/>
        <v>17.347991252467196</v>
      </c>
      <c r="J148" s="98">
        <f t="shared" si="52"/>
        <v>3.5488147651426165</v>
      </c>
      <c r="K148" s="98">
        <f t="shared" si="52"/>
        <v>4.9757370530846661</v>
      </c>
      <c r="L148" s="97">
        <f>SUM(D148:INDEX(D148:K148,0,MATCH('RFPR cover'!$C$7,$D$6:$K$6,0)))</f>
        <v>7.8482484735560245</v>
      </c>
      <c r="M148" s="99">
        <f>SUM(D148:K148)</f>
        <v>33.720791544250503</v>
      </c>
    </row>
    <row r="149" spans="1:20">
      <c r="A149" s="35"/>
      <c r="B149" s="780" t="s">
        <v>11</v>
      </c>
      <c r="C149" s="155" t="s">
        <v>128</v>
      </c>
      <c r="D149" s="138">
        <f>SUM(D147:D148)</f>
        <v>4.4790715224326902</v>
      </c>
      <c r="E149" s="139">
        <f t="shared" ref="E149:K149" si="53">SUM(E147:E148)</f>
        <v>-11.937442003050091</v>
      </c>
      <c r="F149" s="139">
        <f t="shared" si="53"/>
        <v>-21.392468532423983</v>
      </c>
      <c r="G149" s="139">
        <f t="shared" si="53"/>
        <v>29.266257590767051</v>
      </c>
      <c r="H149" s="139">
        <f t="shared" si="53"/>
        <v>10.796364955925799</v>
      </c>
      <c r="I149" s="139">
        <f t="shared" si="53"/>
        <v>24.782844646381712</v>
      </c>
      <c r="J149" s="139">
        <f t="shared" si="53"/>
        <v>5.0697353787751673</v>
      </c>
      <c r="K149" s="139">
        <f t="shared" si="53"/>
        <v>7.108195790120952</v>
      </c>
      <c r="L149" s="138">
        <f>SUM(D149:INDEX(D149:K149,0,MATCH('RFPR cover'!$C$7,$D$6:$K$6,0)))</f>
        <v>11.211783533651467</v>
      </c>
      <c r="M149" s="140">
        <f>SUM(D149:K149)</f>
        <v>48.17255934892929</v>
      </c>
    </row>
    <row r="150" spans="1:20">
      <c r="A150" s="35"/>
      <c r="B150" s="779"/>
      <c r="D150" s="135"/>
      <c r="E150" s="135"/>
      <c r="F150" s="135"/>
      <c r="G150" s="135"/>
      <c r="H150" s="135"/>
      <c r="I150" s="135"/>
      <c r="J150" s="135"/>
      <c r="K150" s="135"/>
    </row>
    <row r="151" spans="1:20">
      <c r="A151" s="35"/>
      <c r="B151" s="772"/>
    </row>
    <row r="152" spans="1:20">
      <c r="A152" s="82"/>
      <c r="B152" s="771"/>
      <c r="C152" s="149"/>
      <c r="D152" s="82"/>
      <c r="E152" s="82"/>
      <c r="F152" s="82"/>
      <c r="G152" s="82"/>
      <c r="H152" s="82"/>
      <c r="I152" s="82"/>
      <c r="J152" s="82"/>
      <c r="K152" s="82"/>
      <c r="L152" s="82"/>
      <c r="M152" s="82"/>
      <c r="N152" s="82"/>
    </row>
    <row r="153" spans="1:20">
      <c r="B153" s="772"/>
    </row>
    <row r="154" spans="1:20">
      <c r="B154" s="772"/>
    </row>
  </sheetData>
  <mergeCells count="4">
    <mergeCell ref="O14:Q14"/>
    <mergeCell ref="O42:Q42"/>
    <mergeCell ref="O92:Q92"/>
    <mergeCell ref="O120:Q120"/>
  </mergeCells>
  <conditionalFormatting sqref="D6:K6">
    <cfRule type="expression" dxfId="56" priority="7">
      <formula>AND(D$5="Actuals",E$5="Forecast")</formula>
    </cfRule>
  </conditionalFormatting>
  <conditionalFormatting sqref="B118:M142">
    <cfRule type="expression" dxfId="55" priority="3">
      <formula>$B$38="n/a"</formula>
    </cfRule>
  </conditionalFormatting>
  <conditionalFormatting sqref="D5:K5">
    <cfRule type="expression" dxfId="54" priority="2">
      <formula>AND(D$5="Actuals",E$5="Forecast")</formula>
    </cfRule>
  </conditionalFormatting>
  <conditionalFormatting sqref="B38:N64">
    <cfRule type="expression" dxfId="53"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114"/>
  <sheetViews>
    <sheetView showGridLines="0" zoomScale="70" zoomScaleNormal="70" workbookViewId="0">
      <pane ySplit="6" topLeftCell="A7" activePane="bottomLeft" state="frozen"/>
      <selection activeCell="B75" sqref="A1:XFD1048576"/>
      <selection pane="bottomLeft" activeCell="H6" sqref="H6"/>
    </sheetView>
  </sheetViews>
  <sheetFormatPr defaultRowHeight="12.6"/>
  <cols>
    <col min="1" max="1" width="8.36328125" customWidth="1"/>
    <col min="2" max="2" width="71.36328125" bestFit="1" customWidth="1"/>
    <col min="3" max="3" width="13.36328125" style="135" customWidth="1"/>
    <col min="4" max="11" width="11.08984375" customWidth="1"/>
    <col min="12" max="12" width="12.90625" customWidth="1"/>
    <col min="13" max="13" width="12.7265625" customWidth="1"/>
    <col min="14" max="14" width="5" customWidth="1"/>
  </cols>
  <sheetData>
    <row r="1" spans="1:14" s="37" customFormat="1" ht="21">
      <c r="A1" s="929" t="s">
        <v>262</v>
      </c>
      <c r="B1" s="930"/>
      <c r="C1" s="152"/>
      <c r="D1" s="130"/>
      <c r="E1" s="130"/>
      <c r="F1" s="130"/>
      <c r="G1" s="130"/>
      <c r="H1" s="130"/>
      <c r="I1" s="126"/>
      <c r="J1" s="126"/>
      <c r="K1" s="126"/>
      <c r="L1" s="126"/>
      <c r="M1" s="126"/>
      <c r="N1" s="127"/>
    </row>
    <row r="2" spans="1:14" s="37" customFormat="1" ht="21">
      <c r="A2" s="931" t="str">
        <f>'RFPR cover'!C5</f>
        <v>WPD-SWEST</v>
      </c>
      <c r="B2" s="932"/>
      <c r="C2" s="153"/>
      <c r="D2" s="36"/>
      <c r="E2" s="36"/>
      <c r="F2" s="36"/>
      <c r="G2" s="36"/>
      <c r="H2" s="36"/>
      <c r="I2" s="27"/>
      <c r="J2" s="27"/>
      <c r="K2" s="27"/>
      <c r="L2" s="27"/>
      <c r="M2" s="27"/>
      <c r="N2" s="122"/>
    </row>
    <row r="3" spans="1:14" s="37" customFormat="1" ht="21">
      <c r="A3" s="933">
        <f>'RFPR cover'!C7</f>
        <v>2020</v>
      </c>
      <c r="B3" s="934"/>
      <c r="C3" s="134"/>
      <c r="D3" s="131"/>
      <c r="E3" s="131"/>
      <c r="F3" s="131"/>
      <c r="G3" s="131"/>
      <c r="H3" s="131"/>
      <c r="I3" s="28"/>
      <c r="J3" s="28"/>
      <c r="K3" s="28"/>
      <c r="L3" s="28"/>
      <c r="M3" s="28"/>
      <c r="N3" s="124"/>
    </row>
    <row r="4" spans="1:14" s="2" customFormat="1" ht="12.75" customHeight="1">
      <c r="B4" s="3"/>
      <c r="C4" s="135"/>
    </row>
    <row r="5" spans="1:14" s="2" customFormat="1" ht="12.75" customHeight="1">
      <c r="B5" s="3"/>
      <c r="C5" s="135"/>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Forecast</v>
      </c>
      <c r="J5" s="389" t="str">
        <f>IF(J6&lt;='RFPR cover'!$C$7,"Actuals","Forecast")</f>
        <v>Forecast</v>
      </c>
      <c r="K5" s="390" t="str">
        <f>IF(K6&lt;='RFPR cover'!$C$7,"Actuals","Forecast")</f>
        <v>Forecast</v>
      </c>
    </row>
    <row r="6" spans="1:14" s="2" customFormat="1" ht="29.25" customHeight="1">
      <c r="C6" s="135"/>
      <c r="D6" s="116">
        <f>'RFPR cover'!$C$13</f>
        <v>2016</v>
      </c>
      <c r="E6" s="117">
        <f>D6+1</f>
        <v>2017</v>
      </c>
      <c r="F6" s="117">
        <f t="shared" ref="F6:K6" si="0">E6+1</f>
        <v>2018</v>
      </c>
      <c r="G6" s="117">
        <f t="shared" si="0"/>
        <v>2019</v>
      </c>
      <c r="H6" s="117">
        <f t="shared" si="0"/>
        <v>2020</v>
      </c>
      <c r="I6" s="117">
        <f t="shared" si="0"/>
        <v>2021</v>
      </c>
      <c r="J6" s="117">
        <f t="shared" si="0"/>
        <v>2022</v>
      </c>
      <c r="K6" s="117">
        <f t="shared" si="0"/>
        <v>2023</v>
      </c>
      <c r="L6" s="100" t="str">
        <f>"Cumulative to "&amp;'RFPR cover'!$C$7</f>
        <v>Cumulative to 2020</v>
      </c>
      <c r="M6" s="118" t="s">
        <v>109</v>
      </c>
    </row>
    <row r="7" spans="1:14" s="2" customFormat="1">
      <c r="A7" s="35"/>
      <c r="C7" s="135"/>
    </row>
    <row r="8" spans="1:14" s="2" customFormat="1">
      <c r="A8" s="35"/>
      <c r="B8" s="115" t="s">
        <v>199</v>
      </c>
      <c r="C8" s="149"/>
      <c r="D8" s="81"/>
      <c r="E8" s="81"/>
      <c r="F8" s="81"/>
      <c r="G8" s="81"/>
      <c r="H8" s="81"/>
      <c r="I8" s="81"/>
      <c r="J8" s="81"/>
      <c r="K8" s="81"/>
      <c r="L8" s="81"/>
      <c r="M8" s="81"/>
      <c r="N8" s="81"/>
    </row>
    <row r="9" spans="1:14" s="2" customFormat="1">
      <c r="A9" s="35"/>
      <c r="B9" s="366" t="s">
        <v>391</v>
      </c>
      <c r="C9" s="366"/>
      <c r="D9" s="366"/>
      <c r="E9" s="366"/>
      <c r="F9" s="366"/>
      <c r="G9" s="366"/>
      <c r="H9" s="366"/>
      <c r="I9" s="366"/>
      <c r="J9" s="366"/>
      <c r="K9" s="366"/>
      <c r="L9" s="366"/>
      <c r="M9" s="366"/>
      <c r="N9" s="366"/>
    </row>
    <row r="10" spans="1:14" s="2" customFormat="1">
      <c r="A10" s="35"/>
      <c r="B10" s="12"/>
      <c r="C10" s="135"/>
    </row>
    <row r="11" spans="1:14" s="2" customFormat="1">
      <c r="A11" s="223" t="s">
        <v>151</v>
      </c>
      <c r="B11" s="35" t="str">
        <f>Data!B153</f>
        <v>Broad measure of customer service</v>
      </c>
      <c r="C11" s="154" t="str">
        <f>'RFPR cover'!$C$14</f>
        <v>£m 12/13</v>
      </c>
      <c r="D11" s="593">
        <v>3.7587605308654028</v>
      </c>
      <c r="E11" s="594">
        <v>3.8070000000000004</v>
      </c>
      <c r="F11" s="594">
        <v>3.8417355976878853</v>
      </c>
      <c r="G11" s="594">
        <v>3.9018000000000028</v>
      </c>
      <c r="H11" s="594">
        <v>4.0716666666666672</v>
      </c>
      <c r="I11" s="594">
        <v>3.9766666666666701</v>
      </c>
      <c r="J11" s="594">
        <v>3.9766666666666701</v>
      </c>
      <c r="K11" s="594">
        <v>3.9766666666666701</v>
      </c>
      <c r="L11" s="670">
        <f>SUM(D11:INDEX(D11:K11,0,MATCH('RFPR cover'!$C$7,$D$6:$K$6,0)))</f>
        <v>19.380962795219958</v>
      </c>
      <c r="M11" s="671">
        <f t="shared" ref="M11:M17" si="1">SUM(D11:K11)</f>
        <v>31.310962795219968</v>
      </c>
    </row>
    <row r="12" spans="1:14" s="2" customFormat="1">
      <c r="A12" s="223" t="s">
        <v>152</v>
      </c>
      <c r="B12" s="35" t="str">
        <f>Data!B154</f>
        <v>Interruptions-related quality of service</v>
      </c>
      <c r="C12" s="154" t="str">
        <f>'RFPR cover'!$C$14</f>
        <v>£m 12/13</v>
      </c>
      <c r="D12" s="595">
        <v>4.8155273776389098</v>
      </c>
      <c r="E12" s="596">
        <v>3.3753648471832101</v>
      </c>
      <c r="F12" s="596">
        <v>-0.36026130831568937</v>
      </c>
      <c r="G12" s="596">
        <v>3.2977777777777764</v>
      </c>
      <c r="H12" s="596">
        <v>5.4277654320987647</v>
      </c>
      <c r="I12" s="596">
        <v>2.2900028722765811</v>
      </c>
      <c r="J12" s="596">
        <v>2.1258053414123865</v>
      </c>
      <c r="K12" s="596">
        <v>1.9616078105481882</v>
      </c>
      <c r="L12" s="674">
        <f>SUM(D12:INDEX(D12:K12,0,MATCH('RFPR cover'!$C$7,$D$6:$K$6,0)))</f>
        <v>16.55617412638297</v>
      </c>
      <c r="M12" s="675">
        <f t="shared" si="1"/>
        <v>22.933590150620127</v>
      </c>
    </row>
    <row r="13" spans="1:14" s="2" customFormat="1">
      <c r="A13" s="223" t="s">
        <v>153</v>
      </c>
      <c r="B13" s="35" t="str">
        <f>Data!B155</f>
        <v>Incentive on connections engagement</v>
      </c>
      <c r="C13" s="154" t="str">
        <f>'RFPR cover'!$C$14</f>
        <v>£m 12/13</v>
      </c>
      <c r="D13" s="595">
        <v>0</v>
      </c>
      <c r="E13" s="596">
        <v>0</v>
      </c>
      <c r="F13" s="596">
        <v>0</v>
      </c>
      <c r="G13" s="596">
        <v>0</v>
      </c>
      <c r="H13" s="596">
        <v>0</v>
      </c>
      <c r="I13" s="596">
        <v>0</v>
      </c>
      <c r="J13" s="596">
        <v>0</v>
      </c>
      <c r="K13" s="596">
        <v>0</v>
      </c>
      <c r="L13" s="674">
        <f>SUM(D13:INDEX(D13:K13,0,MATCH('RFPR cover'!$C$7,$D$6:$K$6,0)))</f>
        <v>0</v>
      </c>
      <c r="M13" s="675">
        <f t="shared" si="1"/>
        <v>0</v>
      </c>
    </row>
    <row r="14" spans="1:14" s="2" customFormat="1">
      <c r="A14" s="223" t="s">
        <v>168</v>
      </c>
      <c r="B14" s="35" t="str">
        <f>Data!B156</f>
        <v>Time to Connect Incentive</v>
      </c>
      <c r="C14" s="154" t="str">
        <f>'RFPR cover'!$C$14</f>
        <v>£m 12/13</v>
      </c>
      <c r="D14" s="595">
        <v>1.1355000000000002</v>
      </c>
      <c r="E14" s="596">
        <v>0.95282322540283193</v>
      </c>
      <c r="F14" s="596">
        <v>1.2</v>
      </c>
      <c r="G14" s="596">
        <v>1.2</v>
      </c>
      <c r="H14" s="596">
        <v>1.2</v>
      </c>
      <c r="I14" s="596">
        <v>0.98191916291141523</v>
      </c>
      <c r="J14" s="596">
        <v>0.98191916291141523</v>
      </c>
      <c r="K14" s="596">
        <v>0.98191916291141523</v>
      </c>
      <c r="L14" s="674">
        <f>SUM(D14:INDEX(D14:K14,0,MATCH('RFPR cover'!$C$7,$D$6:$K$6,0)))</f>
        <v>5.6883232254028329</v>
      </c>
      <c r="M14" s="675">
        <f t="shared" si="1"/>
        <v>8.6340807141370792</v>
      </c>
    </row>
    <row r="15" spans="1:14" s="2" customFormat="1">
      <c r="A15" s="223" t="s">
        <v>169</v>
      </c>
      <c r="B15" s="35" t="str">
        <f>Data!B157</f>
        <v>Losses discretionary reward scheme</v>
      </c>
      <c r="C15" s="154" t="str">
        <f>'RFPR cover'!$C$14</f>
        <v>£m 12/13</v>
      </c>
      <c r="D15" s="595">
        <v>0</v>
      </c>
      <c r="E15" s="596">
        <v>0.04</v>
      </c>
      <c r="F15" s="596">
        <v>0</v>
      </c>
      <c r="G15" s="596">
        <v>0</v>
      </c>
      <c r="H15" s="596">
        <v>0</v>
      </c>
      <c r="I15" s="596">
        <v>0</v>
      </c>
      <c r="J15" s="596">
        <v>0</v>
      </c>
      <c r="K15" s="596">
        <v>0</v>
      </c>
      <c r="L15" s="674">
        <f>SUM(D15:INDEX(D15:K15,0,MATCH('RFPR cover'!$C$7,$D$6:$K$6,0)))</f>
        <v>0.04</v>
      </c>
      <c r="M15" s="675">
        <f t="shared" si="1"/>
        <v>0.04</v>
      </c>
    </row>
    <row r="16" spans="1:14" s="2" customFormat="1">
      <c r="A16" s="223" t="s">
        <v>170</v>
      </c>
      <c r="B16" s="35" t="str">
        <f>Data!B158</f>
        <v/>
      </c>
      <c r="C16" s="154" t="str">
        <f>'RFPR cover'!$C$14</f>
        <v>£m 12/13</v>
      </c>
      <c r="D16" s="595"/>
      <c r="E16" s="596"/>
      <c r="F16" s="596"/>
      <c r="G16" s="596"/>
      <c r="H16" s="596"/>
      <c r="I16" s="596"/>
      <c r="J16" s="596"/>
      <c r="K16" s="596"/>
      <c r="L16" s="674">
        <f>SUM(D16:INDEX(D16:K16,0,MATCH('RFPR cover'!$C$7,$D$6:$K$6,0)))</f>
        <v>0</v>
      </c>
      <c r="M16" s="675">
        <f t="shared" si="1"/>
        <v>0</v>
      </c>
    </row>
    <row r="17" spans="1:16" s="2" customFormat="1">
      <c r="A17" s="223" t="s">
        <v>479</v>
      </c>
      <c r="B17" s="35" t="str">
        <f>Data!B159</f>
        <v/>
      </c>
      <c r="C17" s="154" t="str">
        <f>'RFPR cover'!$C$14</f>
        <v>£m 12/13</v>
      </c>
      <c r="D17" s="848"/>
      <c r="E17" s="849"/>
      <c r="F17" s="849"/>
      <c r="G17" s="849"/>
      <c r="H17" s="849"/>
      <c r="I17" s="849"/>
      <c r="J17" s="849"/>
      <c r="K17" s="850"/>
      <c r="L17" s="674">
        <f>SUM(D17:INDEX(D17:K17,0,MATCH('RFPR cover'!$C$7,$D$6:$K$6,0)))</f>
        <v>0</v>
      </c>
      <c r="M17" s="675">
        <f t="shared" si="1"/>
        <v>0</v>
      </c>
    </row>
    <row r="18" spans="1:16" s="2" customFormat="1">
      <c r="A18" s="35"/>
      <c r="B18" s="12" t="s">
        <v>203</v>
      </c>
      <c r="C18" s="155" t="str">
        <f>'RFPR cover'!$C$14</f>
        <v>£m 12/13</v>
      </c>
      <c r="D18" s="609">
        <f>SUM(D11:D17)</f>
        <v>9.7097879085043139</v>
      </c>
      <c r="E18" s="609">
        <f t="shared" ref="E18:K18" si="2">SUM(E11:E17)</f>
        <v>8.1751880725860424</v>
      </c>
      <c r="F18" s="609">
        <f t="shared" si="2"/>
        <v>4.6814742893721961</v>
      </c>
      <c r="G18" s="609">
        <f t="shared" si="2"/>
        <v>8.3995777777777789</v>
      </c>
      <c r="H18" s="609">
        <f t="shared" si="2"/>
        <v>10.699432098765431</v>
      </c>
      <c r="I18" s="609">
        <f t="shared" si="2"/>
        <v>7.2485887018546666</v>
      </c>
      <c r="J18" s="609">
        <f t="shared" si="2"/>
        <v>7.0843911709904717</v>
      </c>
      <c r="K18" s="609">
        <f t="shared" si="2"/>
        <v>6.920193640126274</v>
      </c>
      <c r="L18" s="609">
        <f>SUM(L11:L17)</f>
        <v>41.66546014700576</v>
      </c>
      <c r="M18" s="609">
        <f>SUM(M11:M17)</f>
        <v>62.918633659977175</v>
      </c>
    </row>
    <row r="19" spans="1:16" s="2" customFormat="1">
      <c r="A19" s="35"/>
      <c r="B19" s="12"/>
      <c r="C19" s="155"/>
      <c r="D19" s="155"/>
      <c r="E19" s="155"/>
      <c r="F19" s="155"/>
      <c r="G19" s="155"/>
      <c r="H19" s="155"/>
      <c r="I19" s="155"/>
      <c r="J19" s="155"/>
      <c r="K19" s="155"/>
      <c r="L19" s="155"/>
      <c r="M19" s="155"/>
    </row>
    <row r="20" spans="1:16" s="2" customFormat="1">
      <c r="A20" s="35"/>
      <c r="B20" s="12" t="s">
        <v>373</v>
      </c>
      <c r="C20" s="155"/>
      <c r="D20" s="155"/>
      <c r="E20" s="155"/>
      <c r="F20" s="155"/>
      <c r="G20" s="155"/>
      <c r="H20" s="155"/>
      <c r="I20" s="155"/>
      <c r="J20" s="155"/>
      <c r="K20" s="155"/>
      <c r="L20" s="155"/>
      <c r="M20" s="155"/>
    </row>
    <row r="21" spans="1:16" s="2" customFormat="1">
      <c r="A21" s="268" t="str">
        <f>A11</f>
        <v>a</v>
      </c>
      <c r="B21" s="1012" t="s">
        <v>623</v>
      </c>
      <c r="C21" s="1012"/>
      <c r="D21" s="1012"/>
      <c r="E21" s="1012"/>
      <c r="F21" s="1012"/>
      <c r="G21" s="1012"/>
      <c r="H21" s="1012"/>
      <c r="I21" s="1012"/>
      <c r="J21" s="1012"/>
      <c r="K21" s="1012"/>
      <c r="L21" s="1012"/>
      <c r="M21" s="1012"/>
    </row>
    <row r="22" spans="1:16" s="2" customFormat="1">
      <c r="A22" s="268" t="str">
        <f>A12</f>
        <v>b</v>
      </c>
      <c r="B22" s="1012"/>
      <c r="C22" s="1012"/>
      <c r="D22" s="1012"/>
      <c r="E22" s="1012"/>
      <c r="F22" s="1012"/>
      <c r="G22" s="1012"/>
      <c r="H22" s="1012"/>
      <c r="I22" s="1012"/>
      <c r="J22" s="1012"/>
      <c r="K22" s="1012"/>
      <c r="L22" s="1012"/>
      <c r="M22" s="1012"/>
    </row>
    <row r="23" spans="1:16" s="2" customFormat="1">
      <c r="A23" s="268" t="str">
        <f>A13</f>
        <v>c</v>
      </c>
      <c r="B23" s="1012"/>
      <c r="C23" s="1012"/>
      <c r="D23" s="1012"/>
      <c r="E23" s="1012"/>
      <c r="F23" s="1012"/>
      <c r="G23" s="1012"/>
      <c r="H23" s="1012"/>
      <c r="I23" s="1012"/>
      <c r="J23" s="1012"/>
      <c r="K23" s="1012"/>
      <c r="L23" s="1012"/>
      <c r="M23" s="1012"/>
    </row>
    <row r="24" spans="1:16" s="2" customFormat="1">
      <c r="A24" s="268" t="str">
        <f>A14</f>
        <v>d</v>
      </c>
      <c r="B24" s="1012"/>
      <c r="C24" s="1012"/>
      <c r="D24" s="1012"/>
      <c r="E24" s="1012"/>
      <c r="F24" s="1012"/>
      <c r="G24" s="1012"/>
      <c r="H24" s="1012"/>
      <c r="I24" s="1012"/>
      <c r="J24" s="1012"/>
      <c r="K24" s="1012"/>
      <c r="L24" s="1012"/>
      <c r="M24" s="1012"/>
    </row>
    <row r="25" spans="1:16" s="2" customFormat="1">
      <c r="A25" s="268" t="str">
        <f>A15</f>
        <v>e</v>
      </c>
      <c r="B25" s="1012"/>
      <c r="C25" s="1012"/>
      <c r="D25" s="1012"/>
      <c r="E25" s="1012"/>
      <c r="F25" s="1012"/>
      <c r="G25" s="1012"/>
      <c r="H25" s="1012"/>
      <c r="I25" s="1012"/>
      <c r="J25" s="1012"/>
      <c r="K25" s="1012"/>
      <c r="L25" s="1012"/>
      <c r="M25" s="1012"/>
    </row>
    <row r="26" spans="1:16" s="2" customFormat="1">
      <c r="A26" s="268" t="s">
        <v>170</v>
      </c>
      <c r="B26" s="844"/>
      <c r="C26" s="844"/>
      <c r="D26" s="844"/>
      <c r="E26" s="844"/>
      <c r="F26" s="844"/>
      <c r="G26" s="844"/>
      <c r="H26" s="844"/>
      <c r="I26" s="844"/>
      <c r="J26" s="844"/>
      <c r="K26" s="844"/>
      <c r="L26" s="844"/>
      <c r="M26" s="844"/>
    </row>
    <row r="27" spans="1:16" s="2" customFormat="1">
      <c r="A27" s="268" t="s">
        <v>479</v>
      </c>
      <c r="B27" s="844"/>
      <c r="C27" s="844"/>
      <c r="D27" s="844"/>
      <c r="E27" s="844"/>
      <c r="F27" s="844"/>
      <c r="G27" s="844"/>
      <c r="H27" s="844"/>
      <c r="I27" s="844"/>
      <c r="J27" s="844"/>
      <c r="K27" s="844"/>
      <c r="L27" s="844"/>
      <c r="M27" s="844"/>
    </row>
    <row r="28" spans="1:16" s="532" customFormat="1">
      <c r="A28" s="38"/>
      <c r="B28" s="536"/>
      <c r="C28" s="536"/>
      <c r="D28" s="536"/>
      <c r="E28" s="536"/>
      <c r="F28" s="536"/>
      <c r="G28" s="536"/>
      <c r="H28" s="536"/>
      <c r="I28" s="536"/>
      <c r="J28" s="536"/>
      <c r="K28" s="536"/>
      <c r="L28" s="536"/>
      <c r="M28" s="536"/>
    </row>
    <row r="29" spans="1:16" s="2" customFormat="1">
      <c r="B29" s="12"/>
      <c r="C29" s="135"/>
      <c r="D29" s="52"/>
      <c r="E29" s="52"/>
      <c r="F29" s="52"/>
      <c r="G29" s="52"/>
      <c r="H29" s="52"/>
      <c r="I29" s="52"/>
      <c r="J29" s="52"/>
      <c r="K29" s="52"/>
    </row>
    <row r="30" spans="1:16" s="2" customFormat="1">
      <c r="A30" s="35"/>
      <c r="B30" s="115" t="s">
        <v>200</v>
      </c>
      <c r="C30" s="149"/>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6" t="s">
        <v>211</v>
      </c>
      <c r="C32" s="290"/>
      <c r="D32" s="292"/>
      <c r="E32" s="292"/>
      <c r="F32" s="292"/>
      <c r="G32" s="292"/>
      <c r="H32" s="292"/>
      <c r="I32" s="292"/>
      <c r="J32" s="292"/>
      <c r="K32" s="292"/>
      <c r="L32" s="292"/>
      <c r="M32" s="292"/>
      <c r="N32" s="292"/>
    </row>
    <row r="33" spans="1:14" s="2" customFormat="1">
      <c r="A33" s="35"/>
      <c r="B33" s="367" t="s">
        <v>241</v>
      </c>
      <c r="C33" s="290"/>
      <c r="D33" s="292"/>
      <c r="E33" s="292"/>
      <c r="F33" s="292"/>
      <c r="G33" s="292"/>
      <c r="H33" s="292"/>
      <c r="I33" s="292"/>
      <c r="J33" s="292"/>
      <c r="K33" s="292"/>
      <c r="L33" s="292"/>
      <c r="M33" s="292"/>
      <c r="N33" s="292"/>
    </row>
    <row r="34" spans="1:14" s="2" customFormat="1">
      <c r="A34" s="35"/>
      <c r="B34" s="367" t="s">
        <v>480</v>
      </c>
      <c r="C34" s="290"/>
      <c r="D34" s="292"/>
      <c r="E34" s="292"/>
      <c r="F34" s="292"/>
      <c r="G34" s="292"/>
      <c r="H34" s="292"/>
      <c r="I34" s="292"/>
      <c r="J34" s="292"/>
      <c r="K34" s="292"/>
      <c r="L34" s="292"/>
      <c r="M34" s="292"/>
      <c r="N34" s="292"/>
    </row>
    <row r="35" spans="1:14" s="2" customFormat="1">
      <c r="A35" s="35"/>
      <c r="B35" s="367" t="s">
        <v>209</v>
      </c>
      <c r="C35" s="290"/>
      <c r="D35" s="292"/>
      <c r="E35" s="292"/>
      <c r="F35" s="292"/>
      <c r="G35" s="292"/>
      <c r="H35" s="292"/>
      <c r="I35" s="292"/>
      <c r="J35" s="292"/>
      <c r="K35" s="292"/>
      <c r="L35" s="292"/>
      <c r="M35" s="292"/>
      <c r="N35" s="292"/>
    </row>
    <row r="36" spans="1:14" s="2" customFormat="1">
      <c r="A36" s="35"/>
      <c r="B36" s="367" t="s">
        <v>202</v>
      </c>
      <c r="C36" s="290"/>
      <c r="D36" s="292"/>
      <c r="E36" s="292"/>
      <c r="F36" s="292"/>
      <c r="G36" s="292"/>
      <c r="H36" s="292"/>
      <c r="I36" s="292"/>
      <c r="J36" s="292"/>
      <c r="K36" s="292"/>
      <c r="L36" s="292"/>
      <c r="M36" s="292"/>
      <c r="N36" s="292"/>
    </row>
    <row r="37" spans="1:14" s="2" customFormat="1">
      <c r="A37" s="35"/>
      <c r="B37" s="367" t="s">
        <v>208</v>
      </c>
      <c r="C37" s="290"/>
      <c r="D37" s="292"/>
      <c r="E37" s="292"/>
      <c r="F37" s="292"/>
      <c r="G37" s="292"/>
      <c r="H37" s="292"/>
      <c r="I37" s="292"/>
      <c r="J37" s="292"/>
      <c r="K37" s="292"/>
      <c r="L37" s="292"/>
      <c r="M37" s="292"/>
      <c r="N37" s="292"/>
    </row>
    <row r="38" spans="1:14" s="2" customFormat="1">
      <c r="B38" s="12"/>
      <c r="C38" s="135"/>
    </row>
    <row r="39" spans="1:14" s="2" customFormat="1">
      <c r="A39" s="159" t="str">
        <f t="shared" ref="A39:A45" si="3">A11</f>
        <v>a</v>
      </c>
      <c r="B39" s="35" t="str">
        <f>$B$11&amp;""</f>
        <v>Broad measure of customer service</v>
      </c>
      <c r="C39" s="154" t="str">
        <f>'RFPR cover'!$C$14</f>
        <v>£m 12/13</v>
      </c>
      <c r="D39" s="670">
        <f>D51</f>
        <v>3.0445960300009767</v>
      </c>
      <c r="E39" s="670">
        <f t="shared" ref="E39:K39" si="4">E51</f>
        <v>3.0836700000000006</v>
      </c>
      <c r="F39" s="670">
        <f t="shared" si="4"/>
        <v>3.1118058341271873</v>
      </c>
      <c r="G39" s="670">
        <f t="shared" si="4"/>
        <v>3.1604580000000024</v>
      </c>
      <c r="H39" s="670">
        <f t="shared" si="4"/>
        <v>3.2980500000000008</v>
      </c>
      <c r="I39" s="670">
        <f t="shared" si="4"/>
        <v>3.221100000000003</v>
      </c>
      <c r="J39" s="670">
        <f t="shared" si="4"/>
        <v>3.221100000000003</v>
      </c>
      <c r="K39" s="670">
        <f t="shared" si="4"/>
        <v>3.221100000000003</v>
      </c>
      <c r="L39" s="670">
        <f>SUM(D39:INDEX(D39:K39,0,MATCH('RFPR cover'!$C$7,$D$6:$K$6,0)))</f>
        <v>15.698579864128167</v>
      </c>
      <c r="M39" s="671">
        <f t="shared" ref="M39:M45" si="5">SUM(D39:K39)</f>
        <v>25.361879864128177</v>
      </c>
    </row>
    <row r="40" spans="1:14" s="2" customFormat="1">
      <c r="A40" s="159" t="str">
        <f t="shared" si="3"/>
        <v>b</v>
      </c>
      <c r="B40" s="35" t="str">
        <f>$B$12&amp;""</f>
        <v>Interruptions-related quality of service</v>
      </c>
      <c r="C40" s="154" t="str">
        <f>'RFPR cover'!$C$14</f>
        <v>£m 12/13</v>
      </c>
      <c r="D40" s="670">
        <f>D55</f>
        <v>3.9005771758875172</v>
      </c>
      <c r="E40" s="670">
        <f t="shared" ref="E40:K40" si="6">E55</f>
        <v>2.7340455262184005</v>
      </c>
      <c r="F40" s="670">
        <f t="shared" si="6"/>
        <v>-0.29181165973570838</v>
      </c>
      <c r="G40" s="670">
        <f t="shared" si="6"/>
        <v>2.6711999999999989</v>
      </c>
      <c r="H40" s="670">
        <f t="shared" si="6"/>
        <v>4.39649</v>
      </c>
      <c r="I40" s="670">
        <f t="shared" si="6"/>
        <v>1.8549023265440308</v>
      </c>
      <c r="J40" s="670">
        <f t="shared" si="6"/>
        <v>1.7219023265440332</v>
      </c>
      <c r="K40" s="670">
        <f t="shared" si="6"/>
        <v>1.5889023265440325</v>
      </c>
      <c r="L40" s="674">
        <f>SUM(D40:INDEX(D40:K40,0,MATCH('RFPR cover'!$C$7,$D$6:$K$6,0)))</f>
        <v>13.410501042370207</v>
      </c>
      <c r="M40" s="675">
        <f t="shared" si="5"/>
        <v>18.576208022002305</v>
      </c>
    </row>
    <row r="41" spans="1:14" s="2" customFormat="1">
      <c r="A41" s="159" t="str">
        <f t="shared" si="3"/>
        <v>c</v>
      </c>
      <c r="B41" s="35" t="str">
        <f>$B$13&amp;""</f>
        <v>Incentive on connections engagement</v>
      </c>
      <c r="C41" s="154" t="str">
        <f>'RFPR cover'!$C$14</f>
        <v>£m 12/13</v>
      </c>
      <c r="D41" s="670">
        <f>D59</f>
        <v>0</v>
      </c>
      <c r="E41" s="670">
        <f t="shared" ref="E41:K41" si="7">E59</f>
        <v>0</v>
      </c>
      <c r="F41" s="670">
        <f t="shared" si="7"/>
        <v>0</v>
      </c>
      <c r="G41" s="670">
        <f t="shared" si="7"/>
        <v>0</v>
      </c>
      <c r="H41" s="670">
        <f t="shared" si="7"/>
        <v>0</v>
      </c>
      <c r="I41" s="670">
        <f t="shared" si="7"/>
        <v>0</v>
      </c>
      <c r="J41" s="670">
        <f t="shared" si="7"/>
        <v>0</v>
      </c>
      <c r="K41" s="670">
        <f t="shared" si="7"/>
        <v>0</v>
      </c>
      <c r="L41" s="674">
        <f>SUM(D41:INDEX(D41:K41,0,MATCH('RFPR cover'!$C$7,$D$6:$K$6,0)))</f>
        <v>0</v>
      </c>
      <c r="M41" s="675">
        <f t="shared" si="5"/>
        <v>0</v>
      </c>
    </row>
    <row r="42" spans="1:14" s="2" customFormat="1">
      <c r="A42" s="159" t="str">
        <f t="shared" si="3"/>
        <v>d</v>
      </c>
      <c r="B42" s="35" t="str">
        <f>$B$14&amp;""</f>
        <v>Time to Connect Incentive</v>
      </c>
      <c r="C42" s="154" t="str">
        <f>'RFPR cover'!$C$14</f>
        <v>£m 12/13</v>
      </c>
      <c r="D42" s="670">
        <f>D63</f>
        <v>0.91975500000000021</v>
      </c>
      <c r="E42" s="670">
        <f t="shared" ref="E42:K42" si="8">E63</f>
        <v>0.77178681257629389</v>
      </c>
      <c r="F42" s="670">
        <f t="shared" si="8"/>
        <v>0.97199999999999998</v>
      </c>
      <c r="G42" s="670">
        <f t="shared" si="8"/>
        <v>0.97199999999999998</v>
      </c>
      <c r="H42" s="670">
        <f t="shared" si="8"/>
        <v>0.97199999999999998</v>
      </c>
      <c r="I42" s="670">
        <f t="shared" si="8"/>
        <v>0.79535452195824641</v>
      </c>
      <c r="J42" s="670">
        <f t="shared" si="8"/>
        <v>0.79535452195824641</v>
      </c>
      <c r="K42" s="670">
        <f t="shared" si="8"/>
        <v>0.79535452195824641</v>
      </c>
      <c r="L42" s="674">
        <f>SUM(D42:INDEX(D42:K42,0,MATCH('RFPR cover'!$C$7,$D$6:$K$6,0)))</f>
        <v>4.6075418125762937</v>
      </c>
      <c r="M42" s="675">
        <f t="shared" si="5"/>
        <v>6.9936053784510319</v>
      </c>
    </row>
    <row r="43" spans="1:14" s="2" customFormat="1">
      <c r="A43" s="159" t="str">
        <f t="shared" si="3"/>
        <v>e</v>
      </c>
      <c r="B43" s="35" t="str">
        <f>$B$15&amp;""</f>
        <v>Losses discretionary reward scheme</v>
      </c>
      <c r="C43" s="154" t="str">
        <f>'RFPR cover'!$C$14</f>
        <v>£m 12/13</v>
      </c>
      <c r="D43" s="670">
        <f>D67</f>
        <v>0</v>
      </c>
      <c r="E43" s="670">
        <f t="shared" ref="E43:K43" si="9">E67</f>
        <v>3.2400000000000005E-2</v>
      </c>
      <c r="F43" s="670">
        <f t="shared" si="9"/>
        <v>0</v>
      </c>
      <c r="G43" s="670">
        <f t="shared" si="9"/>
        <v>0</v>
      </c>
      <c r="H43" s="670">
        <f t="shared" si="9"/>
        <v>0</v>
      </c>
      <c r="I43" s="670">
        <f t="shared" si="9"/>
        <v>0</v>
      </c>
      <c r="J43" s="670">
        <f t="shared" si="9"/>
        <v>0</v>
      </c>
      <c r="K43" s="670">
        <f t="shared" si="9"/>
        <v>0</v>
      </c>
      <c r="L43" s="674">
        <f>SUM(D43:INDEX(D43:K43,0,MATCH('RFPR cover'!$C$7,$D$6:$K$6,0)))</f>
        <v>3.2400000000000005E-2</v>
      </c>
      <c r="M43" s="675">
        <f t="shared" si="5"/>
        <v>3.2400000000000005E-2</v>
      </c>
    </row>
    <row r="44" spans="1:14" s="2" customFormat="1">
      <c r="A44" s="159" t="str">
        <f t="shared" si="3"/>
        <v>f</v>
      </c>
      <c r="B44" s="35" t="str">
        <f>$B$16&amp;""</f>
        <v/>
      </c>
      <c r="C44" s="154" t="str">
        <f>'RFPR cover'!$C$14</f>
        <v>£m 12/13</v>
      </c>
      <c r="D44" s="670">
        <f>D71</f>
        <v>0</v>
      </c>
      <c r="E44" s="670">
        <f t="shared" ref="E44:K44" si="10">E71</f>
        <v>0</v>
      </c>
      <c r="F44" s="670">
        <f t="shared" si="10"/>
        <v>0</v>
      </c>
      <c r="G44" s="670">
        <f t="shared" si="10"/>
        <v>0</v>
      </c>
      <c r="H44" s="670">
        <f t="shared" si="10"/>
        <v>0</v>
      </c>
      <c r="I44" s="670">
        <f t="shared" si="10"/>
        <v>0</v>
      </c>
      <c r="J44" s="670">
        <f t="shared" si="10"/>
        <v>0</v>
      </c>
      <c r="K44" s="670">
        <f t="shared" si="10"/>
        <v>0</v>
      </c>
      <c r="L44" s="674">
        <f>SUM(D44:INDEX(D44:K44,0,MATCH('RFPR cover'!$C$7,$D$6:$K$6,0)))</f>
        <v>0</v>
      </c>
      <c r="M44" s="675">
        <f t="shared" si="5"/>
        <v>0</v>
      </c>
    </row>
    <row r="45" spans="1:14" s="2" customFormat="1">
      <c r="A45" s="159" t="str">
        <f t="shared" si="3"/>
        <v>g</v>
      </c>
      <c r="B45" s="35" t="str">
        <f>$B$17&amp;""</f>
        <v/>
      </c>
      <c r="C45" s="154" t="str">
        <f>'RFPR cover'!$C$14</f>
        <v>£m 12/13</v>
      </c>
      <c r="D45" s="670">
        <f>D75</f>
        <v>0</v>
      </c>
      <c r="E45" s="670">
        <f t="shared" ref="E45:K45" si="11">E75</f>
        <v>0</v>
      </c>
      <c r="F45" s="670">
        <f t="shared" si="11"/>
        <v>0</v>
      </c>
      <c r="G45" s="670">
        <f t="shared" si="11"/>
        <v>0</v>
      </c>
      <c r="H45" s="670">
        <f t="shared" si="11"/>
        <v>0</v>
      </c>
      <c r="I45" s="670">
        <f t="shared" si="11"/>
        <v>0</v>
      </c>
      <c r="J45" s="670">
        <f t="shared" si="11"/>
        <v>0</v>
      </c>
      <c r="K45" s="670">
        <f t="shared" si="11"/>
        <v>0</v>
      </c>
      <c r="L45" s="674">
        <f>SUM(D45:INDEX(D45:K45,0,MATCH('RFPR cover'!$C$7,$D$6:$K$6,0)))</f>
        <v>0</v>
      </c>
      <c r="M45" s="675">
        <f t="shared" si="5"/>
        <v>0</v>
      </c>
    </row>
    <row r="46" spans="1:14" s="2" customFormat="1">
      <c r="B46" s="12" t="s">
        <v>204</v>
      </c>
      <c r="C46" s="155" t="str">
        <f>'RFPR cover'!$C$14</f>
        <v>£m 12/13</v>
      </c>
      <c r="D46" s="609">
        <f>SUM(D39:D45)</f>
        <v>7.8649282058884946</v>
      </c>
      <c r="E46" s="609">
        <f t="shared" ref="E46:M46" si="12">SUM(E39:E45)</f>
        <v>6.6219023387946949</v>
      </c>
      <c r="F46" s="609">
        <f t="shared" si="12"/>
        <v>3.7919941743914789</v>
      </c>
      <c r="G46" s="609">
        <f t="shared" si="12"/>
        <v>6.8036580000000004</v>
      </c>
      <c r="H46" s="610">
        <f t="shared" si="12"/>
        <v>8.6665400000000012</v>
      </c>
      <c r="I46" s="610">
        <f t="shared" si="12"/>
        <v>5.8713568485022796</v>
      </c>
      <c r="J46" s="610">
        <f t="shared" si="12"/>
        <v>5.7383568485022822</v>
      </c>
      <c r="K46" s="610">
        <f t="shared" si="12"/>
        <v>5.6053568485022813</v>
      </c>
      <c r="L46" s="609">
        <f t="shared" si="12"/>
        <v>33.749022719074667</v>
      </c>
      <c r="M46" s="609">
        <f t="shared" si="12"/>
        <v>50.964093264581514</v>
      </c>
    </row>
    <row r="47" spans="1:14" s="2" customFormat="1">
      <c r="B47" s="12"/>
      <c r="C47" s="155"/>
      <c r="D47" s="155"/>
      <c r="E47" s="155"/>
      <c r="F47" s="155"/>
      <c r="G47" s="155"/>
      <c r="H47" s="155"/>
      <c r="I47" s="155"/>
      <c r="J47" s="155"/>
      <c r="K47" s="155"/>
      <c r="L47" s="155"/>
      <c r="M47" s="155"/>
    </row>
    <row r="48" spans="1:14" s="2" customFormat="1">
      <c r="B48" s="12"/>
      <c r="C48" s="155"/>
      <c r="D48" s="160"/>
      <c r="E48" s="155"/>
      <c r="F48" s="155"/>
      <c r="G48" s="155"/>
      <c r="H48" s="155"/>
      <c r="I48" s="155"/>
      <c r="J48" s="155"/>
      <c r="K48" s="155"/>
      <c r="L48" s="155"/>
      <c r="M48" s="155"/>
    </row>
    <row r="49" spans="1:13" s="2" customFormat="1">
      <c r="A49" s="159" t="str">
        <f>$A$11</f>
        <v>a</v>
      </c>
      <c r="B49" s="170" t="str">
        <f>INDEX($B$11:$B$15,MATCH($A49,$A$11:$A$15,0),0)&amp;""</f>
        <v>Broad measure of customer service</v>
      </c>
      <c r="C49" s="154" t="str">
        <f>'RFPR cover'!$C$14</f>
        <v>£m 12/13</v>
      </c>
      <c r="D49" s="781">
        <f>INDEX($D$11:$K$17,MATCH($A49,$A$11:$A$17,0),0)</f>
        <v>3.7587605308654028</v>
      </c>
      <c r="E49" s="781">
        <f t="shared" ref="E49:K49" si="13">INDEX($D$11:$K$17,MATCH($A49,$A$11:$A$17,0),0)</f>
        <v>3.8070000000000004</v>
      </c>
      <c r="F49" s="781">
        <f t="shared" si="13"/>
        <v>3.8417355976878853</v>
      </c>
      <c r="G49" s="781">
        <f t="shared" si="13"/>
        <v>3.9018000000000028</v>
      </c>
      <c r="H49" s="781">
        <f t="shared" si="13"/>
        <v>4.0716666666666672</v>
      </c>
      <c r="I49" s="781">
        <f t="shared" si="13"/>
        <v>3.9766666666666701</v>
      </c>
      <c r="J49" s="781">
        <f t="shared" si="13"/>
        <v>3.9766666666666701</v>
      </c>
      <c r="K49" s="781">
        <f t="shared" si="13"/>
        <v>3.9766666666666701</v>
      </c>
      <c r="L49" s="781">
        <f>SUM(D49:INDEX(D49:K49,0,MATCH('RFPR cover'!$C$7,$D$6:$K$6,0)))</f>
        <v>19.380962795219958</v>
      </c>
      <c r="M49" s="782">
        <f>SUM(D49:K49)</f>
        <v>31.310962795219968</v>
      </c>
    </row>
    <row r="50" spans="1:13" s="2" customFormat="1">
      <c r="A50" s="159"/>
      <c r="B50" s="35" t="s">
        <v>201</v>
      </c>
      <c r="C50" s="293" t="s">
        <v>202</v>
      </c>
      <c r="D50" s="884">
        <f>IF($C50=$B$33,$B$33,INDEX(Data!$G$14:$G$30,MATCH('R5 - Output Incentives'!D$6+RIGHT('R5 - Output Incentives'!$C50,2),Data!$C$14:$C$30,0),0))</f>
        <v>0.19</v>
      </c>
      <c r="E50" s="885">
        <f>IF($C50=$B$33,$B$33,INDEX(Data!$G$14:$G$30,MATCH('R5 - Output Incentives'!E$6+RIGHT('R5 - Output Incentives'!$C50,2),Data!$C$14:$C$30,0),0))</f>
        <v>0.19</v>
      </c>
      <c r="F50" s="885">
        <f>IF($C50=$B$33,$B$33,INDEX(Data!$G$14:$G$30,MATCH('R5 - Output Incentives'!F$6+RIGHT('R5 - Output Incentives'!$C50,2),Data!$C$14:$C$30,0),0))</f>
        <v>0.19</v>
      </c>
      <c r="G50" s="885">
        <f>IF($C50=$B$33,$B$33,INDEX(Data!$G$14:$G$30,MATCH('R5 - Output Incentives'!G$6+RIGHT('R5 - Output Incentives'!$C50,2),Data!$C$14:$C$30,0),0))</f>
        <v>0.19</v>
      </c>
      <c r="H50" s="885">
        <f>IF($C50=$B$33,$B$33,INDEX(Data!$G$14:$G$30,MATCH('R5 - Output Incentives'!H$6+RIGHT('R5 - Output Incentives'!$C50,2),Data!$C$14:$C$30,0),0))</f>
        <v>0.19</v>
      </c>
      <c r="I50" s="885">
        <f>IF($C50=$B$33,$B$33,INDEX(Data!$G$14:$G$30,MATCH('R5 - Output Incentives'!I$6+RIGHT('R5 - Output Incentives'!$C50,2),Data!$C$14:$C$30,0),0))</f>
        <v>0.19</v>
      </c>
      <c r="J50" s="885">
        <f>IF($C50=$B$33,$B$33,INDEX(Data!$G$14:$G$30,MATCH('R5 - Output Incentives'!J$6+RIGHT('R5 - Output Incentives'!$C50,2),Data!$C$14:$C$30,0),0))</f>
        <v>0.19</v>
      </c>
      <c r="K50" s="886">
        <f>IF($C50=$B$33,$B$33,INDEX(Data!$G$14:$G$30,MATCH('R5 - Output Incentives'!K$6+RIGHT('R5 - Output Incentives'!$C50,2),Data!$C$14:$C$30,0),0))</f>
        <v>0.19</v>
      </c>
      <c r="L50" s="783"/>
      <c r="M50" s="784"/>
    </row>
    <row r="51" spans="1:13" s="2" customFormat="1">
      <c r="A51" s="159"/>
      <c r="B51" s="35" t="s">
        <v>210</v>
      </c>
      <c r="C51" s="154"/>
      <c r="D51" s="609">
        <f>IFERROR(D49*(1-D50),0)</f>
        <v>3.0445960300009767</v>
      </c>
      <c r="E51" s="610">
        <f t="shared" ref="E51:K51" si="14">IFERROR(E49*(1-E50),0)</f>
        <v>3.0836700000000006</v>
      </c>
      <c r="F51" s="610">
        <f t="shared" si="14"/>
        <v>3.1118058341271873</v>
      </c>
      <c r="G51" s="610">
        <f t="shared" si="14"/>
        <v>3.1604580000000024</v>
      </c>
      <c r="H51" s="610">
        <f t="shared" si="14"/>
        <v>3.2980500000000008</v>
      </c>
      <c r="I51" s="610">
        <f t="shared" si="14"/>
        <v>3.221100000000003</v>
      </c>
      <c r="J51" s="610">
        <f t="shared" si="14"/>
        <v>3.221100000000003</v>
      </c>
      <c r="K51" s="610">
        <f t="shared" si="14"/>
        <v>3.221100000000003</v>
      </c>
      <c r="L51" s="668">
        <f>SUM(D51:INDEX(D51:K51,0,MATCH('RFPR cover'!$C$7,$D$6:$K$6,0)))</f>
        <v>15.698579864128167</v>
      </c>
      <c r="M51" s="669">
        <f>SUM(D51:K51)</f>
        <v>25.361879864128177</v>
      </c>
    </row>
    <row r="52" spans="1:13" s="2" customFormat="1">
      <c r="A52" s="159"/>
      <c r="B52" s="51"/>
      <c r="C52" s="155"/>
      <c r="D52" s="155"/>
      <c r="E52" s="155"/>
      <c r="F52" s="155"/>
      <c r="G52" s="155"/>
      <c r="H52" s="155"/>
      <c r="I52" s="155"/>
      <c r="J52" s="155"/>
      <c r="K52" s="155"/>
      <c r="L52" s="155"/>
      <c r="M52" s="155"/>
    </row>
    <row r="53" spans="1:13" s="2" customFormat="1">
      <c r="A53" s="159" t="str">
        <f>$A$12</f>
        <v>b</v>
      </c>
      <c r="B53" s="170" t="str">
        <f>INDEX($B$11:$B$15,MATCH($A53,$A$11:$A$15,0),0)&amp;""</f>
        <v>Interruptions-related quality of service</v>
      </c>
      <c r="C53" s="154" t="str">
        <f>'RFPR cover'!$C$14</f>
        <v>£m 12/13</v>
      </c>
      <c r="D53" s="781">
        <f>INDEX($D$11:$K$17,MATCH($A53,$A$11:$A$17,0),0)</f>
        <v>4.8155273776389098</v>
      </c>
      <c r="E53" s="781">
        <f t="shared" ref="E53:K53" si="15">INDEX($D$11:$K$17,MATCH($A53,$A$11:$A$17,0),0)</f>
        <v>3.3753648471832101</v>
      </c>
      <c r="F53" s="781">
        <f t="shared" si="15"/>
        <v>-0.36026130831568937</v>
      </c>
      <c r="G53" s="781">
        <f t="shared" si="15"/>
        <v>3.2977777777777764</v>
      </c>
      <c r="H53" s="781">
        <f t="shared" si="15"/>
        <v>5.4277654320987647</v>
      </c>
      <c r="I53" s="781">
        <f t="shared" si="15"/>
        <v>2.2900028722765811</v>
      </c>
      <c r="J53" s="781">
        <f t="shared" si="15"/>
        <v>2.1258053414123865</v>
      </c>
      <c r="K53" s="781">
        <f t="shared" si="15"/>
        <v>1.9616078105481882</v>
      </c>
      <c r="L53" s="670">
        <f>SUM(D53:INDEX(D53:K53,0,MATCH('RFPR cover'!$C$7,$D$6:$K$6,0)))</f>
        <v>16.55617412638297</v>
      </c>
      <c r="M53" s="671">
        <f>SUM(D53:K53)</f>
        <v>22.933590150620127</v>
      </c>
    </row>
    <row r="54" spans="1:13" s="2" customFormat="1">
      <c r="A54" s="159"/>
      <c r="B54" s="35" t="s">
        <v>201</v>
      </c>
      <c r="C54" s="293" t="s">
        <v>202</v>
      </c>
      <c r="D54" s="884">
        <f>IF($C54=$B$33,$B$33,INDEX(Data!$G$14:$G$30,MATCH('R5 - Output Incentives'!D$6+RIGHT('R5 - Output Incentives'!$C54,2),Data!$C$14:$C$30,0),0))</f>
        <v>0.19</v>
      </c>
      <c r="E54" s="885">
        <f>IF($C54=$B$33,$B$33,INDEX(Data!$G$14:$G$30,MATCH('R5 - Output Incentives'!E$6+RIGHT('R5 - Output Incentives'!$C54,2),Data!$C$14:$C$30,0),0))</f>
        <v>0.19</v>
      </c>
      <c r="F54" s="885">
        <f>IF($C54=$B$33,$B$33,INDEX(Data!$G$14:$G$30,MATCH('R5 - Output Incentives'!F$6+RIGHT('R5 - Output Incentives'!$C54,2),Data!$C$14:$C$30,0),0))</f>
        <v>0.19</v>
      </c>
      <c r="G54" s="885">
        <f>IF($C54=$B$33,$B$33,INDEX(Data!$G$14:$G$30,MATCH('R5 - Output Incentives'!G$6+RIGHT('R5 - Output Incentives'!$C54,2),Data!$C$14:$C$30,0),0))</f>
        <v>0.19</v>
      </c>
      <c r="H54" s="885">
        <f>IF($C54=$B$33,$B$33,INDEX(Data!$G$14:$G$30,MATCH('R5 - Output Incentives'!H$6+RIGHT('R5 - Output Incentives'!$C54,2),Data!$C$14:$C$30,0),0))</f>
        <v>0.19</v>
      </c>
      <c r="I54" s="885">
        <f>IF($C54=$B$33,$B$33,INDEX(Data!$G$14:$G$30,MATCH('R5 - Output Incentives'!I$6+RIGHT('R5 - Output Incentives'!$C54,2),Data!$C$14:$C$30,0),0))</f>
        <v>0.19</v>
      </c>
      <c r="J54" s="885">
        <f>IF($C54=$B$33,$B$33,INDEX(Data!$G$14:$G$30,MATCH('R5 - Output Incentives'!J$6+RIGHT('R5 - Output Incentives'!$C54,2),Data!$C$14:$C$30,0),0))</f>
        <v>0.19</v>
      </c>
      <c r="K54" s="886">
        <f>IF($C54=$B$33,$B$33,INDEX(Data!$G$14:$G$30,MATCH('R5 - Output Incentives'!K$6+RIGHT('R5 - Output Incentives'!$C54,2),Data!$C$14:$C$30,0),0))</f>
        <v>0.19</v>
      </c>
      <c r="L54" s="783"/>
      <c r="M54" s="784"/>
    </row>
    <row r="55" spans="1:13" s="2" customFormat="1">
      <c r="A55" s="159"/>
      <c r="B55" s="35" t="s">
        <v>210</v>
      </c>
      <c r="C55" s="154"/>
      <c r="D55" s="609">
        <f>IFERROR(D53*(1-D54),0)</f>
        <v>3.9005771758875172</v>
      </c>
      <c r="E55" s="610">
        <f t="shared" ref="E55:K55" si="16">IFERROR(E53*(1-E54),0)</f>
        <v>2.7340455262184005</v>
      </c>
      <c r="F55" s="610">
        <f t="shared" si="16"/>
        <v>-0.29181165973570838</v>
      </c>
      <c r="G55" s="610">
        <f t="shared" si="16"/>
        <v>2.6711999999999989</v>
      </c>
      <c r="H55" s="610">
        <f t="shared" si="16"/>
        <v>4.39649</v>
      </c>
      <c r="I55" s="610">
        <f t="shared" si="16"/>
        <v>1.8549023265440308</v>
      </c>
      <c r="J55" s="610">
        <f t="shared" si="16"/>
        <v>1.7219023265440332</v>
      </c>
      <c r="K55" s="610">
        <f t="shared" si="16"/>
        <v>1.5889023265440325</v>
      </c>
      <c r="L55" s="668">
        <f>SUM(D55:INDEX(D55:K55,0,MATCH('RFPR cover'!$C$7,$D$6:$K$6,0)))</f>
        <v>13.410501042370207</v>
      </c>
      <c r="M55" s="669">
        <f>SUM(D55:K55)</f>
        <v>18.576208022002305</v>
      </c>
    </row>
    <row r="56" spans="1:13" s="2" customFormat="1">
      <c r="A56" s="159"/>
      <c r="B56" s="51"/>
      <c r="C56" s="155"/>
      <c r="D56" s="155"/>
      <c r="E56" s="155"/>
      <c r="F56" s="155"/>
      <c r="G56" s="155"/>
      <c r="H56" s="155"/>
      <c r="I56" s="155"/>
      <c r="J56" s="155"/>
      <c r="K56" s="155"/>
      <c r="L56" s="155"/>
      <c r="M56" s="155"/>
    </row>
    <row r="57" spans="1:13" s="2" customFormat="1">
      <c r="A57" s="159" t="str">
        <f>$A$13</f>
        <v>c</v>
      </c>
      <c r="B57" s="170" t="str">
        <f>INDEX($B$11:$B$15,MATCH($A57,$A$11:$A$15,0),0)&amp;""</f>
        <v>Incentive on connections engagement</v>
      </c>
      <c r="C57" s="154" t="str">
        <f>'RFPR cover'!$C$14</f>
        <v>£m 12/13</v>
      </c>
      <c r="D57" s="781">
        <f>INDEX($D$11:$K$17,MATCH($A57,$A$11:$A$17,0),0)</f>
        <v>0</v>
      </c>
      <c r="E57" s="781">
        <f t="shared" ref="E57:K57" si="17">INDEX($D$11:$K$17,MATCH($A57,$A$11:$A$17,0),0)</f>
        <v>0</v>
      </c>
      <c r="F57" s="781">
        <f t="shared" si="17"/>
        <v>0</v>
      </c>
      <c r="G57" s="781">
        <f t="shared" si="17"/>
        <v>0</v>
      </c>
      <c r="H57" s="781">
        <f t="shared" si="17"/>
        <v>0</v>
      </c>
      <c r="I57" s="781">
        <f t="shared" si="17"/>
        <v>0</v>
      </c>
      <c r="J57" s="781">
        <f t="shared" si="17"/>
        <v>0</v>
      </c>
      <c r="K57" s="781">
        <f t="shared" si="17"/>
        <v>0</v>
      </c>
      <c r="L57" s="670">
        <f>SUM(D57:INDEX(D57:K57,0,MATCH('RFPR cover'!$C$7,$D$6:$K$6,0)))</f>
        <v>0</v>
      </c>
      <c r="M57" s="671">
        <f>SUM(D57:K57)</f>
        <v>0</v>
      </c>
    </row>
    <row r="58" spans="1:13" s="2" customFormat="1">
      <c r="A58" s="159"/>
      <c r="B58" s="35" t="s">
        <v>201</v>
      </c>
      <c r="C58" s="293" t="s">
        <v>208</v>
      </c>
      <c r="D58" s="884">
        <f>IF($C58=$B$33,$B$33,INDEX(Data!$G$14:$G$30,MATCH('R5 - Output Incentives'!D$6+RIGHT('R5 - Output Incentives'!$C58,2),Data!$C$14:$C$30,0),0))</f>
        <v>0.19</v>
      </c>
      <c r="E58" s="885">
        <f>IF($C58=$B$33,$B$33,INDEX(Data!$G$14:$G$30,MATCH('R5 - Output Incentives'!E$6+RIGHT('R5 - Output Incentives'!$C58,2),Data!$C$14:$C$30,0),0))</f>
        <v>0.19</v>
      </c>
      <c r="F58" s="885">
        <f>IF($C58=$B$33,$B$33,INDEX(Data!$G$14:$G$30,MATCH('R5 - Output Incentives'!F$6+RIGHT('R5 - Output Incentives'!$C58,2),Data!$C$14:$C$30,0),0))</f>
        <v>0.19</v>
      </c>
      <c r="G58" s="885">
        <f>IF($C58=$B$33,$B$33,INDEX(Data!$G$14:$G$30,MATCH('R5 - Output Incentives'!G$6+RIGHT('R5 - Output Incentives'!$C58,2),Data!$C$14:$C$30,0),0))</f>
        <v>0.19</v>
      </c>
      <c r="H58" s="885">
        <f>IF($C58=$B$33,$B$33,INDEX(Data!$G$14:$G$30,MATCH('R5 - Output Incentives'!H$6+RIGHT('R5 - Output Incentives'!$C58,2),Data!$C$14:$C$30,0),0))</f>
        <v>0.19</v>
      </c>
      <c r="I58" s="885">
        <f>IF($C58=$B$33,$B$33,INDEX(Data!$G$14:$G$30,MATCH('R5 - Output Incentives'!I$6+RIGHT('R5 - Output Incentives'!$C58,2),Data!$C$14:$C$30,0),0))</f>
        <v>0.19</v>
      </c>
      <c r="J58" s="885">
        <f>IF($C58=$B$33,$B$33,INDEX(Data!$G$14:$G$30,MATCH('R5 - Output Incentives'!J$6+RIGHT('R5 - Output Incentives'!$C58,2),Data!$C$14:$C$30,0),0))</f>
        <v>0.19</v>
      </c>
      <c r="K58" s="886">
        <f>IF($C58=$B$33,$B$33,INDEX(Data!$G$14:$G$30,MATCH('R5 - Output Incentives'!K$6+RIGHT('R5 - Output Incentives'!$C58,2),Data!$C$14:$C$30,0),0))</f>
        <v>0.19</v>
      </c>
      <c r="L58" s="783"/>
      <c r="M58" s="784"/>
    </row>
    <row r="59" spans="1:13" s="2" customFormat="1">
      <c r="A59" s="159"/>
      <c r="B59" s="35" t="s">
        <v>210</v>
      </c>
      <c r="C59" s="154"/>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68">
        <f>SUM(D59:INDEX(D59:K59,0,MATCH('RFPR cover'!$C$7,$D$6:$K$6,0)))</f>
        <v>0</v>
      </c>
      <c r="M59" s="669">
        <f>SUM(D59:K59)</f>
        <v>0</v>
      </c>
    </row>
    <row r="60" spans="1:13" s="2" customFormat="1">
      <c r="A60" s="159"/>
      <c r="B60" s="51"/>
      <c r="C60" s="155"/>
      <c r="D60" s="155"/>
      <c r="E60" s="155"/>
      <c r="F60" s="155"/>
      <c r="G60" s="155"/>
      <c r="H60" s="155"/>
      <c r="I60" s="155"/>
      <c r="J60" s="155"/>
      <c r="K60" s="155"/>
      <c r="L60" s="155"/>
      <c r="M60" s="155"/>
    </row>
    <row r="61" spans="1:13" s="2" customFormat="1">
      <c r="A61" s="159" t="str">
        <f>$A$14</f>
        <v>d</v>
      </c>
      <c r="B61" s="170" t="str">
        <f>INDEX($B$11:$B$15,MATCH($A61,$A$11:$A$15,0),0)&amp;""</f>
        <v>Time to Connect Incentive</v>
      </c>
      <c r="C61" s="154" t="str">
        <f>'RFPR cover'!$C$14</f>
        <v>£m 12/13</v>
      </c>
      <c r="D61" s="781">
        <f>INDEX($D$11:$K$17,MATCH($A61,$A$11:$A$17,0),0)</f>
        <v>1.1355000000000002</v>
      </c>
      <c r="E61" s="781">
        <f t="shared" ref="E61:K61" si="19">INDEX($D$11:$K$17,MATCH($A61,$A$11:$A$17,0),0)</f>
        <v>0.95282322540283193</v>
      </c>
      <c r="F61" s="781">
        <f t="shared" si="19"/>
        <v>1.2</v>
      </c>
      <c r="G61" s="781">
        <f t="shared" si="19"/>
        <v>1.2</v>
      </c>
      <c r="H61" s="781">
        <f t="shared" si="19"/>
        <v>1.2</v>
      </c>
      <c r="I61" s="781">
        <f t="shared" si="19"/>
        <v>0.98191916291141523</v>
      </c>
      <c r="J61" s="781">
        <f t="shared" si="19"/>
        <v>0.98191916291141523</v>
      </c>
      <c r="K61" s="781">
        <f t="shared" si="19"/>
        <v>0.98191916291141523</v>
      </c>
      <c r="L61" s="670">
        <f>SUM(D61:INDEX(D61:K61,0,MATCH('RFPR cover'!$C$7,$D$6:$K$6,0)))</f>
        <v>5.6883232254028329</v>
      </c>
      <c r="M61" s="671">
        <f>SUM(D61:K61)</f>
        <v>8.6340807141370792</v>
      </c>
    </row>
    <row r="62" spans="1:13" s="2" customFormat="1">
      <c r="A62" s="159"/>
      <c r="B62" s="35" t="s">
        <v>201</v>
      </c>
      <c r="C62" s="293" t="s">
        <v>202</v>
      </c>
      <c r="D62" s="884">
        <f>IF($C62=$B$33,$B$33,INDEX(Data!$G$14:$G$30,MATCH('R5 - Output Incentives'!D$6+RIGHT('R5 - Output Incentives'!$C62,2),Data!$C$14:$C$30,0),0))</f>
        <v>0.19</v>
      </c>
      <c r="E62" s="885">
        <f>IF($C62=$B$33,$B$33,INDEX(Data!$G$14:$G$30,MATCH('R5 - Output Incentives'!E$6+RIGHT('R5 - Output Incentives'!$C62,2),Data!$C$14:$C$30,0),0))</f>
        <v>0.19</v>
      </c>
      <c r="F62" s="885">
        <f>IF($C62=$B$33,$B$33,INDEX(Data!$G$14:$G$30,MATCH('R5 - Output Incentives'!F$6+RIGHT('R5 - Output Incentives'!$C62,2),Data!$C$14:$C$30,0),0))</f>
        <v>0.19</v>
      </c>
      <c r="G62" s="885">
        <f>IF($C62=$B$33,$B$33,INDEX(Data!$G$14:$G$30,MATCH('R5 - Output Incentives'!G$6+RIGHT('R5 - Output Incentives'!$C62,2),Data!$C$14:$C$30,0),0))</f>
        <v>0.19</v>
      </c>
      <c r="H62" s="885">
        <f>IF($C62=$B$33,$B$33,INDEX(Data!$G$14:$G$30,MATCH('R5 - Output Incentives'!H$6+RIGHT('R5 - Output Incentives'!$C62,2),Data!$C$14:$C$30,0),0))</f>
        <v>0.19</v>
      </c>
      <c r="I62" s="885">
        <f>IF($C62=$B$33,$B$33,INDEX(Data!$G$14:$G$30,MATCH('R5 - Output Incentives'!I$6+RIGHT('R5 - Output Incentives'!$C62,2),Data!$C$14:$C$30,0),0))</f>
        <v>0.19</v>
      </c>
      <c r="J62" s="885">
        <f>IF($C62=$B$33,$B$33,INDEX(Data!$G$14:$G$30,MATCH('R5 - Output Incentives'!J$6+RIGHT('R5 - Output Incentives'!$C62,2),Data!$C$14:$C$30,0),0))</f>
        <v>0.19</v>
      </c>
      <c r="K62" s="886">
        <f>IF($C62=$B$33,$B$33,INDEX(Data!$G$14:$G$30,MATCH('R5 - Output Incentives'!K$6+RIGHT('R5 - Output Incentives'!$C62,2),Data!$C$14:$C$30,0),0))</f>
        <v>0.19</v>
      </c>
      <c r="L62" s="783"/>
      <c r="M62" s="784"/>
    </row>
    <row r="63" spans="1:13" s="2" customFormat="1">
      <c r="A63" s="159"/>
      <c r="B63" s="35" t="s">
        <v>210</v>
      </c>
      <c r="C63" s="154"/>
      <c r="D63" s="609">
        <f>IFERROR(D61*(1-D62),0)</f>
        <v>0.91975500000000021</v>
      </c>
      <c r="E63" s="610">
        <f t="shared" ref="E63:K63" si="20">IFERROR(E61*(1-E62),0)</f>
        <v>0.77178681257629389</v>
      </c>
      <c r="F63" s="610">
        <f t="shared" si="20"/>
        <v>0.97199999999999998</v>
      </c>
      <c r="G63" s="610">
        <f t="shared" si="20"/>
        <v>0.97199999999999998</v>
      </c>
      <c r="H63" s="610">
        <f t="shared" si="20"/>
        <v>0.97199999999999998</v>
      </c>
      <c r="I63" s="610">
        <f t="shared" si="20"/>
        <v>0.79535452195824641</v>
      </c>
      <c r="J63" s="610">
        <f t="shared" si="20"/>
        <v>0.79535452195824641</v>
      </c>
      <c r="K63" s="610">
        <f t="shared" si="20"/>
        <v>0.79535452195824641</v>
      </c>
      <c r="L63" s="668">
        <f>SUM(D63:INDEX(D63:K63,0,MATCH('RFPR cover'!$C$7,$D$6:$K$6,0)))</f>
        <v>4.6075418125762937</v>
      </c>
      <c r="M63" s="669">
        <f>SUM(D63:K63)</f>
        <v>6.9936053784510319</v>
      </c>
    </row>
    <row r="64" spans="1:13" s="2" customFormat="1">
      <c r="A64" s="159"/>
      <c r="B64" s="51"/>
      <c r="C64" s="155"/>
      <c r="D64" s="155"/>
      <c r="E64" s="155"/>
      <c r="F64" s="155"/>
      <c r="G64" s="155"/>
      <c r="H64" s="155"/>
      <c r="I64" s="155"/>
      <c r="J64" s="155"/>
      <c r="K64" s="155"/>
      <c r="L64" s="155"/>
      <c r="M64" s="155"/>
    </row>
    <row r="65" spans="1:14" s="2" customFormat="1">
      <c r="A65" s="159" t="str">
        <f>$A$15</f>
        <v>e</v>
      </c>
      <c r="B65" s="170" t="str">
        <f>INDEX($B$11:$B$15,MATCH($A65,$A$11:$A$15,0),0)&amp;""</f>
        <v>Losses discretionary reward scheme</v>
      </c>
      <c r="C65" s="154" t="str">
        <f>'RFPR cover'!$C$14</f>
        <v>£m 12/13</v>
      </c>
      <c r="D65" s="781">
        <f>INDEX($D$11:$K$17,MATCH($A65,$A$11:$A$17,0),0)</f>
        <v>0</v>
      </c>
      <c r="E65" s="781">
        <f t="shared" ref="E65:K65" si="21">INDEX($D$11:$K$17,MATCH($A65,$A$11:$A$17,0),0)</f>
        <v>0.04</v>
      </c>
      <c r="F65" s="781">
        <f t="shared" si="21"/>
        <v>0</v>
      </c>
      <c r="G65" s="781">
        <f t="shared" si="21"/>
        <v>0</v>
      </c>
      <c r="H65" s="781">
        <f t="shared" si="21"/>
        <v>0</v>
      </c>
      <c r="I65" s="781">
        <f t="shared" si="21"/>
        <v>0</v>
      </c>
      <c r="J65" s="781">
        <f t="shared" si="21"/>
        <v>0</v>
      </c>
      <c r="K65" s="781">
        <f t="shared" si="21"/>
        <v>0</v>
      </c>
      <c r="L65" s="670">
        <f>SUM(D65:INDEX(D65:K65,0,MATCH('RFPR cover'!$C$7,$D$6:$K$6,0)))</f>
        <v>0.04</v>
      </c>
      <c r="M65" s="671">
        <f>SUM(D65:K65)</f>
        <v>0.04</v>
      </c>
    </row>
    <row r="66" spans="1:14" s="2" customFormat="1">
      <c r="A66" s="159"/>
      <c r="B66" s="35" t="s">
        <v>201</v>
      </c>
      <c r="C66" s="293" t="s">
        <v>209</v>
      </c>
      <c r="D66" s="884">
        <f>IF($C66=$B$33,$B$33,INDEX(Data!$G$14:$G$30,MATCH('R5 - Output Incentives'!D$6+RIGHT('R5 - Output Incentives'!$C66,2),Data!$C$14:$C$30,0),0))</f>
        <v>0.2</v>
      </c>
      <c r="E66" s="885">
        <f>IF($C66=$B$33,$B$33,INDEX(Data!$G$14:$G$30,MATCH('R5 - Output Incentives'!E$6+RIGHT('R5 - Output Incentives'!$C66,2),Data!$C$14:$C$30,0),0))</f>
        <v>0.19</v>
      </c>
      <c r="F66" s="885">
        <f>IF($C66=$B$33,$B$33,INDEX(Data!$G$14:$G$30,MATCH('R5 - Output Incentives'!F$6+RIGHT('R5 - Output Incentives'!$C66,2),Data!$C$14:$C$30,0),0))</f>
        <v>0.19</v>
      </c>
      <c r="G66" s="885">
        <f>IF($C66=$B$33,$B$33,INDEX(Data!$G$14:$G$30,MATCH('R5 - Output Incentives'!G$6+RIGHT('R5 - Output Incentives'!$C66,2),Data!$C$14:$C$30,0),0))</f>
        <v>0.19</v>
      </c>
      <c r="H66" s="885">
        <f>IF($C66=$B$33,$B$33,INDEX(Data!$G$14:$G$30,MATCH('R5 - Output Incentives'!H$6+RIGHT('R5 - Output Incentives'!$C66,2),Data!$C$14:$C$30,0),0))</f>
        <v>0.19</v>
      </c>
      <c r="I66" s="885">
        <f>IF($C66=$B$33,$B$33,INDEX(Data!$G$14:$G$30,MATCH('R5 - Output Incentives'!I$6+RIGHT('R5 - Output Incentives'!$C66,2),Data!$C$14:$C$30,0),0))</f>
        <v>0.19</v>
      </c>
      <c r="J66" s="885">
        <f>IF($C66=$B$33,$B$33,INDEX(Data!$G$14:$G$30,MATCH('R5 - Output Incentives'!J$6+RIGHT('R5 - Output Incentives'!$C66,2),Data!$C$14:$C$30,0),0))</f>
        <v>0.19</v>
      </c>
      <c r="K66" s="886">
        <f>IF($C66=$B$33,$B$33,INDEX(Data!$G$14:$G$30,MATCH('R5 - Output Incentives'!K$6+RIGHT('R5 - Output Incentives'!$C66,2),Data!$C$14:$C$30,0),0))</f>
        <v>0.19</v>
      </c>
      <c r="L66" s="783"/>
      <c r="M66" s="784"/>
    </row>
    <row r="67" spans="1:14" s="2" customFormat="1">
      <c r="A67" s="159"/>
      <c r="B67" s="35" t="s">
        <v>210</v>
      </c>
      <c r="C67" s="154"/>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68">
        <f>SUM(D67:INDEX(D67:K67,0,MATCH('RFPR cover'!$C$7,$D$6:$K$6,0)))</f>
        <v>3.2400000000000005E-2</v>
      </c>
      <c r="M67" s="669">
        <f>SUM(D67:K67)</f>
        <v>3.2400000000000005E-2</v>
      </c>
    </row>
    <row r="68" spans="1:14" s="2" customFormat="1">
      <c r="A68" s="159"/>
      <c r="B68" s="51"/>
      <c r="C68" s="155"/>
      <c r="D68" s="155"/>
      <c r="E68" s="155"/>
      <c r="F68" s="155"/>
      <c r="G68" s="155"/>
      <c r="H68" s="155"/>
      <c r="I68" s="155"/>
      <c r="J68" s="155"/>
      <c r="K68" s="155"/>
      <c r="L68" s="155"/>
      <c r="M68" s="155"/>
    </row>
    <row r="69" spans="1:14" s="2" customFormat="1">
      <c r="A69" s="159" t="str">
        <f>$A$16</f>
        <v>f</v>
      </c>
      <c r="B69" s="170" t="str">
        <f>INDEX($B$11:$B$17,MATCH($A69,$A$11:$A$17,0),0)&amp;""</f>
        <v/>
      </c>
      <c r="C69" s="154" t="str">
        <f>'RFPR cover'!$C$14</f>
        <v>£m 12/13</v>
      </c>
      <c r="D69" s="781">
        <f>INDEX($D$11:$K$17,MATCH($A69,$A$11:$A$17,0),0)</f>
        <v>0</v>
      </c>
      <c r="E69" s="781">
        <f t="shared" ref="E69:K69" si="23">INDEX($D$11:$K$17,MATCH($A69,$A$11:$A$17,0),0)</f>
        <v>0</v>
      </c>
      <c r="F69" s="781">
        <f t="shared" si="23"/>
        <v>0</v>
      </c>
      <c r="G69" s="781">
        <f t="shared" si="23"/>
        <v>0</v>
      </c>
      <c r="H69" s="781">
        <f t="shared" si="23"/>
        <v>0</v>
      </c>
      <c r="I69" s="781">
        <f t="shared" si="23"/>
        <v>0</v>
      </c>
      <c r="J69" s="781">
        <f t="shared" si="23"/>
        <v>0</v>
      </c>
      <c r="K69" s="781">
        <f t="shared" si="23"/>
        <v>0</v>
      </c>
      <c r="L69" s="670">
        <f>SUM(D69:INDEX(D69:K69,0,MATCH('RFPR cover'!$C$7,$D$6:$K$6,0)))</f>
        <v>0</v>
      </c>
      <c r="M69" s="671">
        <f>SUM(D69:K69)</f>
        <v>0</v>
      </c>
    </row>
    <row r="70" spans="1:14" s="2" customFormat="1">
      <c r="A70" s="159"/>
      <c r="B70" s="35" t="s">
        <v>201</v>
      </c>
      <c r="C70" s="293" t="s">
        <v>209</v>
      </c>
      <c r="D70" s="884">
        <f>IF($C70=$B$33,$B$33,INDEX(Data!$G$14:$G$30,MATCH('R5 - Output Incentives'!D$6+RIGHT('R5 - Output Incentives'!$C70,2),Data!$C$14:$C$30,0),0))</f>
        <v>0.2</v>
      </c>
      <c r="E70" s="885">
        <f>IF($C70=$B$33,$B$33,INDEX(Data!$G$14:$G$30,MATCH('R5 - Output Incentives'!E$6+RIGHT('R5 - Output Incentives'!$C70,2),Data!$C$14:$C$30,0),0))</f>
        <v>0.19</v>
      </c>
      <c r="F70" s="885">
        <f>IF($C70=$B$33,$B$33,INDEX(Data!$G$14:$G$30,MATCH('R5 - Output Incentives'!F$6+RIGHT('R5 - Output Incentives'!$C70,2),Data!$C$14:$C$30,0),0))</f>
        <v>0.19</v>
      </c>
      <c r="G70" s="885">
        <f>IF($C70=$B$33,$B$33,INDEX(Data!$G$14:$G$30,MATCH('R5 - Output Incentives'!G$6+RIGHT('R5 - Output Incentives'!$C70,2),Data!$C$14:$C$30,0),0))</f>
        <v>0.19</v>
      </c>
      <c r="H70" s="885">
        <f>IF($C70=$B$33,$B$33,INDEX(Data!$G$14:$G$30,MATCH('R5 - Output Incentives'!H$6+RIGHT('R5 - Output Incentives'!$C70,2),Data!$C$14:$C$30,0),0))</f>
        <v>0.19</v>
      </c>
      <c r="I70" s="885">
        <f>IF($C70=$B$33,$B$33,INDEX(Data!$G$14:$G$30,MATCH('R5 - Output Incentives'!I$6+RIGHT('R5 - Output Incentives'!$C70,2),Data!$C$14:$C$30,0),0))</f>
        <v>0.19</v>
      </c>
      <c r="J70" s="885">
        <f>IF($C70=$B$33,$B$33,INDEX(Data!$G$14:$G$30,MATCH('R5 - Output Incentives'!J$6+RIGHT('R5 - Output Incentives'!$C70,2),Data!$C$14:$C$30,0),0))</f>
        <v>0.19</v>
      </c>
      <c r="K70" s="886">
        <f>IF($C70=$B$33,$B$33,INDEX(Data!$G$14:$G$30,MATCH('R5 - Output Incentives'!K$6+RIGHT('R5 - Output Incentives'!$C70,2),Data!$C$14:$C$30,0),0))</f>
        <v>0.19</v>
      </c>
      <c r="L70" s="783"/>
      <c r="M70" s="784"/>
    </row>
    <row r="71" spans="1:14" s="2" customFormat="1">
      <c r="A71" s="159"/>
      <c r="B71" s="35" t="s">
        <v>210</v>
      </c>
      <c r="C71" s="154"/>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68">
        <f>SUM(D71:INDEX(D71:K71,0,MATCH('RFPR cover'!$C$7,$D$6:$K$6,0)))</f>
        <v>0</v>
      </c>
      <c r="M71" s="669">
        <f>SUM(D71:K71)</f>
        <v>0</v>
      </c>
    </row>
    <row r="72" spans="1:14" s="2" customFormat="1">
      <c r="A72" s="159"/>
      <c r="B72" s="51"/>
      <c r="C72" s="155"/>
      <c r="D72" s="155"/>
      <c r="E72" s="155"/>
      <c r="F72" s="155"/>
      <c r="G72" s="155"/>
      <c r="H72" s="155"/>
      <c r="I72" s="155"/>
      <c r="J72" s="155"/>
      <c r="K72" s="155"/>
      <c r="L72" s="155"/>
      <c r="M72" s="155"/>
    </row>
    <row r="73" spans="1:14" s="2" customFormat="1">
      <c r="A73" s="159" t="s">
        <v>479</v>
      </c>
      <c r="B73" s="170" t="str">
        <f>INDEX($B$11:$B$17,MATCH($A73,$A$11:$A$17,0),0)&amp;""</f>
        <v/>
      </c>
      <c r="C73" s="154" t="str">
        <f>'RFPR cover'!$C$14</f>
        <v>£m 12/13</v>
      </c>
      <c r="D73" s="781">
        <f>INDEX($D$11:$K$17,MATCH($A73,$A$11:$A$17,0),0)</f>
        <v>0</v>
      </c>
      <c r="E73" s="781">
        <f t="shared" ref="E73:K73" si="25">INDEX($D$11:$K$17,MATCH($A73,$A$11:$A$17,0),0)</f>
        <v>0</v>
      </c>
      <c r="F73" s="781">
        <f t="shared" si="25"/>
        <v>0</v>
      </c>
      <c r="G73" s="781">
        <f t="shared" si="25"/>
        <v>0</v>
      </c>
      <c r="H73" s="781">
        <f t="shared" si="25"/>
        <v>0</v>
      </c>
      <c r="I73" s="781">
        <f t="shared" si="25"/>
        <v>0</v>
      </c>
      <c r="J73" s="781">
        <f t="shared" si="25"/>
        <v>0</v>
      </c>
      <c r="K73" s="781">
        <f t="shared" si="25"/>
        <v>0</v>
      </c>
      <c r="L73" s="670">
        <f>SUM(D73:INDEX(D73:K73,0,MATCH('RFPR cover'!$C$7,$D$6:$K$6,0)))</f>
        <v>0</v>
      </c>
      <c r="M73" s="671">
        <f>SUM(D73:K73)</f>
        <v>0</v>
      </c>
    </row>
    <row r="74" spans="1:14" s="2" customFormat="1">
      <c r="A74" s="159"/>
      <c r="B74" s="35" t="s">
        <v>201</v>
      </c>
      <c r="C74" s="293" t="s">
        <v>209</v>
      </c>
      <c r="D74" s="884">
        <f>IF($C74=$B$33,$B$33,INDEX(Data!$G$14:$G$30,MATCH('R5 - Output Incentives'!D$6+RIGHT('R5 - Output Incentives'!$C74,2),Data!$C$14:$C$30,0),0))</f>
        <v>0.2</v>
      </c>
      <c r="E74" s="885">
        <f>IF($C74=$B$33,$B$33,INDEX(Data!$G$14:$G$30,MATCH('R5 - Output Incentives'!E$6+RIGHT('R5 - Output Incentives'!$C74,2),Data!$C$14:$C$30,0),0))</f>
        <v>0.19</v>
      </c>
      <c r="F74" s="885">
        <f>IF($C74=$B$33,$B$33,INDEX(Data!$G$14:$G$30,MATCH('R5 - Output Incentives'!F$6+RIGHT('R5 - Output Incentives'!$C74,2),Data!$C$14:$C$30,0),0))</f>
        <v>0.19</v>
      </c>
      <c r="G74" s="885">
        <f>IF($C74=$B$33,$B$33,INDEX(Data!$G$14:$G$30,MATCH('R5 - Output Incentives'!G$6+RIGHT('R5 - Output Incentives'!$C74,2),Data!$C$14:$C$30,0),0))</f>
        <v>0.19</v>
      </c>
      <c r="H74" s="885">
        <f>IF($C74=$B$33,$B$33,INDEX(Data!$G$14:$G$30,MATCH('R5 - Output Incentives'!H$6+RIGHT('R5 - Output Incentives'!$C74,2),Data!$C$14:$C$30,0),0))</f>
        <v>0.19</v>
      </c>
      <c r="I74" s="885">
        <f>IF($C74=$B$33,$B$33,INDEX(Data!$G$14:$G$30,MATCH('R5 - Output Incentives'!I$6+RIGHT('R5 - Output Incentives'!$C74,2),Data!$C$14:$C$30,0),0))</f>
        <v>0.19</v>
      </c>
      <c r="J74" s="885">
        <f>IF($C74=$B$33,$B$33,INDEX(Data!$G$14:$G$30,MATCH('R5 - Output Incentives'!J$6+RIGHT('R5 - Output Incentives'!$C74,2),Data!$C$14:$C$30,0),0))</f>
        <v>0.19</v>
      </c>
      <c r="K74" s="886">
        <f>IF($C74=$B$33,$B$33,INDEX(Data!$G$14:$G$30,MATCH('R5 - Output Incentives'!K$6+RIGHT('R5 - Output Incentives'!$C74,2),Data!$C$14:$C$30,0),0))</f>
        <v>0.19</v>
      </c>
      <c r="L74" s="783"/>
      <c r="M74" s="784"/>
    </row>
    <row r="75" spans="1:14" s="2" customFormat="1">
      <c r="A75" s="159"/>
      <c r="B75" s="35" t="s">
        <v>210</v>
      </c>
      <c r="C75" s="154"/>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68">
        <f>SUM(D75:INDEX(D75:K75,0,MATCH('RFPR cover'!$C$7,$D$6:$K$6,0)))</f>
        <v>0</v>
      </c>
      <c r="M75" s="669">
        <f>SUM(D75:K75)</f>
        <v>0</v>
      </c>
    </row>
    <row r="76" spans="1:14" s="532" customFormat="1" ht="14.25" customHeight="1">
      <c r="A76" s="531"/>
      <c r="C76" s="533"/>
      <c r="D76" s="534"/>
      <c r="E76" s="534"/>
      <c r="F76" s="534"/>
      <c r="G76" s="534"/>
      <c r="H76" s="534"/>
      <c r="I76" s="534"/>
      <c r="J76" s="534"/>
      <c r="K76" s="534"/>
      <c r="L76" s="535"/>
      <c r="M76" s="535"/>
    </row>
    <row r="77" spans="1:14" s="2" customFormat="1">
      <c r="B77" s="115" t="s">
        <v>396</v>
      </c>
      <c r="C77" s="149"/>
      <c r="D77" s="132"/>
      <c r="E77" s="132"/>
      <c r="F77" s="132"/>
      <c r="G77" s="132"/>
      <c r="H77" s="132"/>
      <c r="I77" s="132"/>
      <c r="J77" s="132"/>
      <c r="K77" s="132"/>
      <c r="L77" s="81"/>
      <c r="M77" s="81"/>
      <c r="N77" s="81"/>
    </row>
    <row r="78" spans="1:14" s="2" customFormat="1">
      <c r="B78" s="366" t="s">
        <v>395</v>
      </c>
      <c r="C78" s="290"/>
      <c r="D78" s="291"/>
      <c r="E78" s="291"/>
      <c r="F78" s="291"/>
      <c r="G78" s="291"/>
      <c r="H78" s="291"/>
      <c r="I78" s="291"/>
      <c r="J78" s="291"/>
      <c r="K78" s="291"/>
      <c r="L78" s="292"/>
      <c r="M78" s="292"/>
      <c r="N78" s="292"/>
    </row>
    <row r="79" spans="1:14" s="2" customFormat="1">
      <c r="B79" s="366" t="s">
        <v>397</v>
      </c>
      <c r="C79" s="290"/>
      <c r="D79" s="291"/>
      <c r="E79" s="291"/>
      <c r="F79" s="291"/>
      <c r="G79" s="291"/>
      <c r="H79" s="291"/>
      <c r="I79" s="291"/>
      <c r="J79" s="291"/>
      <c r="K79" s="291"/>
      <c r="L79" s="292"/>
      <c r="M79" s="292"/>
      <c r="N79" s="292"/>
    </row>
    <row r="80" spans="1:14" s="532" customFormat="1">
      <c r="B80" s="537"/>
      <c r="C80" s="538"/>
      <c r="D80" s="539"/>
      <c r="E80" s="539"/>
      <c r="F80" s="539"/>
      <c r="G80" s="539"/>
      <c r="H80" s="539"/>
      <c r="I80" s="539"/>
      <c r="J80" s="539"/>
      <c r="K80" s="539"/>
    </row>
    <row r="81" spans="1:12" s="2" customFormat="1">
      <c r="B81" s="12"/>
      <c r="C81" s="540" t="s">
        <v>398</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12" s="2" customFormat="1">
      <c r="A82" s="3" t="str">
        <f>A11</f>
        <v>a</v>
      </c>
      <c r="B82" s="128" t="str">
        <f>B11&amp;""</f>
        <v>Broad measure of customer service</v>
      </c>
      <c r="C82" s="135" t="s">
        <v>128</v>
      </c>
      <c r="D82" s="637">
        <v>2.3880586688999994</v>
      </c>
      <c r="E82" s="638">
        <v>2.1673151658982968</v>
      </c>
      <c r="F82" s="638">
        <v>3.985476737729658</v>
      </c>
      <c r="G82" s="638">
        <v>4.128612600000003</v>
      </c>
      <c r="H82" s="616">
        <f>+F11*Data!E$34</f>
        <v>4.3164354743606053</v>
      </c>
      <c r="I82" s="616">
        <f>+G11*Data!F$34</f>
        <v>4.5178753628282449</v>
      </c>
      <c r="J82" s="616">
        <f>+H11*Data!G$34</f>
        <v>4.8366091481897762</v>
      </c>
      <c r="K82" s="616">
        <f>+I11*Data!H$34</f>
        <v>4.8040654800858311</v>
      </c>
    </row>
    <row r="83" spans="1:12" s="2" customFormat="1">
      <c r="A83" s="3"/>
      <c r="B83" s="128"/>
      <c r="C83" s="135"/>
      <c r="D83" s="135"/>
      <c r="E83" s="135"/>
      <c r="F83" s="135"/>
      <c r="G83" s="135"/>
      <c r="H83" s="135"/>
      <c r="I83" s="135"/>
      <c r="J83" s="135"/>
      <c r="K83" s="135"/>
      <c r="L83" s="135"/>
    </row>
    <row r="84" spans="1:12" s="2" customFormat="1">
      <c r="A84" s="3"/>
      <c r="B84" s="128"/>
      <c r="C84" s="540" t="s">
        <v>398</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row>
    <row r="85" spans="1:12" s="2" customFormat="1">
      <c r="A85" s="3" t="str">
        <f>A12</f>
        <v>b</v>
      </c>
      <c r="B85" s="128" t="str">
        <f>B12&amp;""</f>
        <v>Interruptions-related quality of service</v>
      </c>
      <c r="C85" s="135" t="s">
        <v>128</v>
      </c>
      <c r="D85" s="637">
        <v>4.9079221662150001</v>
      </c>
      <c r="E85" s="638">
        <v>5.8106222910786931</v>
      </c>
      <c r="F85" s="638">
        <v>5.8223395612175697</v>
      </c>
      <c r="G85" s="638">
        <v>4.2084352807151353</v>
      </c>
      <c r="H85" s="616">
        <v>-0.46306793557735471</v>
      </c>
      <c r="I85" s="616">
        <f>+G12*(1+(Data!H$63*Data!$E$83)+(Data!$C$83*(1-Data!$E$83)))*(1+(Data!I$63*Data!$E$83)+(Data!$C$83*(1-Data!$E$83)))*Data!H$34</f>
        <v>4.2573111517363378</v>
      </c>
      <c r="J85" s="616">
        <f>+H12*(1+(Data!I$63*Data!$E$83)+(Data!$C$83*(1-Data!$E$83)))*(1+(Data!J$63*Data!$E$83)+(Data!$C$83*(1-Data!$E$83)))*Data!I$34</f>
        <v>7.119089508483059</v>
      </c>
      <c r="K85" s="616">
        <f>+I12*(1+(Data!J$63*Data!$E$83)+(Data!$C$83*(1-Data!$E$83)))*(1+(Data!K$63*Data!$E$83)+(Data!$C$83*(1-Data!$E$83)))*Data!J$34</f>
        <v>3.0652157587074185</v>
      </c>
    </row>
    <row r="86" spans="1:12" s="2" customFormat="1">
      <c r="A86" s="3"/>
      <c r="B86" s="128"/>
      <c r="C86" s="135"/>
      <c r="D86" s="135"/>
      <c r="E86" s="135"/>
      <c r="F86" s="135"/>
      <c r="G86" s="135"/>
      <c r="H86" s="135"/>
      <c r="I86" s="135"/>
      <c r="J86" s="135"/>
      <c r="K86" s="135"/>
      <c r="L86" s="135"/>
    </row>
    <row r="87" spans="1:12" s="2" customFormat="1">
      <c r="A87" s="3"/>
      <c r="B87" s="128"/>
      <c r="C87" s="540" t="s">
        <v>398</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row>
    <row r="88" spans="1:12" s="2" customFormat="1">
      <c r="A88" s="3" t="str">
        <f>A13</f>
        <v>c</v>
      </c>
      <c r="B88" s="128" t="str">
        <f>B13&amp;""</f>
        <v>Incentive on connections engagement</v>
      </c>
      <c r="C88" s="135" t="s">
        <v>128</v>
      </c>
      <c r="D88" s="637">
        <v>0</v>
      </c>
      <c r="E88" s="638">
        <v>0</v>
      </c>
      <c r="F88" s="638">
        <v>0</v>
      </c>
      <c r="G88" s="638">
        <v>0</v>
      </c>
      <c r="H88" s="616">
        <f>+E13*Data!D$34</f>
        <v>0</v>
      </c>
      <c r="I88" s="616">
        <f>+F13*Data!E$34</f>
        <v>0</v>
      </c>
      <c r="J88" s="616">
        <f>+G13*Data!F$34</f>
        <v>0</v>
      </c>
      <c r="K88" s="616">
        <f>+H13*Data!G$34</f>
        <v>0</v>
      </c>
    </row>
    <row r="89" spans="1:12" s="2" customFormat="1">
      <c r="A89" s="3"/>
      <c r="B89" s="128"/>
      <c r="C89" s="135"/>
      <c r="D89" s="135"/>
      <c r="E89" s="135"/>
      <c r="F89" s="135"/>
      <c r="G89" s="135"/>
      <c r="H89" s="135"/>
      <c r="I89" s="135"/>
      <c r="J89" s="135"/>
      <c r="K89" s="135"/>
      <c r="L89" s="135"/>
    </row>
    <row r="90" spans="1:12" s="2" customFormat="1">
      <c r="A90" s="3"/>
      <c r="B90" s="128"/>
      <c r="C90" s="540" t="s">
        <v>398</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row>
    <row r="91" spans="1:12" s="2" customFormat="1">
      <c r="A91" s="3" t="str">
        <f>A14</f>
        <v>d</v>
      </c>
      <c r="B91" s="128" t="str">
        <f>B14&amp;""</f>
        <v>Time to Connect Incentive</v>
      </c>
      <c r="C91" s="135" t="s">
        <v>128</v>
      </c>
      <c r="D91" s="637">
        <v>0</v>
      </c>
      <c r="E91" s="638">
        <v>0</v>
      </c>
      <c r="F91" s="638">
        <v>1.2039896658833147</v>
      </c>
      <c r="G91" s="638">
        <v>1.0317740999999998</v>
      </c>
      <c r="H91" s="616">
        <f>+F14*Data!E$34</f>
        <v>1.348276693573107</v>
      </c>
      <c r="I91" s="616">
        <f>+G14*Data!F$34</f>
        <v>1.3894742004700111</v>
      </c>
      <c r="J91" s="616">
        <f>+H14*Data!G$34</f>
        <v>1.4254435475630938</v>
      </c>
      <c r="K91" s="616">
        <f>+I14*Data!H$34</f>
        <v>1.1862206089130347</v>
      </c>
    </row>
    <row r="92" spans="1:12" s="2" customFormat="1">
      <c r="A92" s="3"/>
      <c r="B92" s="128"/>
      <c r="C92" s="135"/>
      <c r="D92" s="135"/>
      <c r="E92" s="135"/>
      <c r="F92" s="135"/>
      <c r="G92" s="135"/>
      <c r="H92" s="135"/>
      <c r="I92" s="135"/>
      <c r="J92" s="135"/>
      <c r="K92" s="135"/>
      <c r="L92" s="135"/>
    </row>
    <row r="93" spans="1:12" s="2" customFormat="1">
      <c r="A93" s="3"/>
      <c r="B93" s="128"/>
      <c r="C93" s="540" t="s">
        <v>398</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row>
    <row r="94" spans="1:12" s="2" customFormat="1">
      <c r="A94" s="3" t="str">
        <f>A15</f>
        <v>e</v>
      </c>
      <c r="B94" s="128" t="str">
        <f>B15&amp;""</f>
        <v>Losses discretionary reward scheme</v>
      </c>
      <c r="C94" s="135" t="s">
        <v>128</v>
      </c>
      <c r="D94" s="637">
        <v>0</v>
      </c>
      <c r="E94" s="638">
        <v>0</v>
      </c>
      <c r="F94" s="638">
        <v>4.4839999999999998E-2</v>
      </c>
      <c r="G94" s="638">
        <v>0</v>
      </c>
      <c r="H94" s="616">
        <f>+G15*Data!F$34</f>
        <v>0</v>
      </c>
      <c r="I94" s="616">
        <f>+H15*Data!G$34</f>
        <v>0</v>
      </c>
      <c r="J94" s="616">
        <f>+I15*Data!H$34</f>
        <v>0</v>
      </c>
      <c r="K94" s="616">
        <f>+J15*Data!I$34</f>
        <v>0</v>
      </c>
    </row>
    <row r="95" spans="1:12" s="2" customFormat="1">
      <c r="A95" s="3"/>
      <c r="B95" s="128"/>
      <c r="C95" s="135"/>
      <c r="D95" s="135"/>
      <c r="E95" s="135"/>
      <c r="F95" s="135"/>
      <c r="G95" s="135"/>
      <c r="H95" s="135"/>
      <c r="I95" s="135"/>
      <c r="J95" s="135"/>
      <c r="K95" s="135"/>
      <c r="L95" s="135"/>
    </row>
    <row r="96" spans="1:12" s="2" customFormat="1">
      <c r="A96" s="3"/>
      <c r="B96" s="128"/>
      <c r="C96" s="540" t="s">
        <v>398</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row>
    <row r="97" spans="1:13" s="2" customFormat="1">
      <c r="A97" s="3" t="str">
        <f>A16</f>
        <v>f</v>
      </c>
      <c r="B97" s="128" t="str">
        <f>B16&amp;""</f>
        <v/>
      </c>
      <c r="C97" s="135" t="s">
        <v>128</v>
      </c>
      <c r="D97" s="637"/>
      <c r="E97" s="638"/>
      <c r="F97" s="638"/>
      <c r="G97" s="638"/>
      <c r="H97" s="616"/>
      <c r="I97" s="616"/>
      <c r="J97" s="616"/>
      <c r="K97" s="616"/>
    </row>
    <row r="98" spans="1:13" s="2" customFormat="1">
      <c r="A98" s="3"/>
      <c r="B98" s="128"/>
      <c r="C98" s="135"/>
      <c r="D98" s="135"/>
      <c r="E98" s="135"/>
      <c r="F98" s="135"/>
      <c r="G98" s="135"/>
      <c r="H98" s="135"/>
      <c r="I98" s="135"/>
      <c r="J98" s="135"/>
      <c r="K98" s="135"/>
      <c r="L98" s="135"/>
    </row>
    <row r="99" spans="1:13" s="2" customFormat="1">
      <c r="A99" s="3"/>
      <c r="B99" s="128"/>
      <c r="C99" s="540" t="s">
        <v>398</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row>
    <row r="100" spans="1:13" s="2" customFormat="1">
      <c r="A100" s="3" t="str">
        <f>A17</f>
        <v>g</v>
      </c>
      <c r="B100" s="128" t="str">
        <f>B17&amp;""</f>
        <v/>
      </c>
      <c r="C100" s="135" t="s">
        <v>128</v>
      </c>
      <c r="D100" s="637"/>
      <c r="E100" s="638"/>
      <c r="F100" s="638"/>
      <c r="G100" s="638"/>
      <c r="H100" s="616"/>
      <c r="I100" s="616"/>
      <c r="J100" s="616"/>
      <c r="K100" s="616"/>
    </row>
    <row r="101" spans="1:13" s="2" customFormat="1">
      <c r="A101" s="3"/>
      <c r="B101" s="128"/>
      <c r="C101" s="135"/>
      <c r="D101" s="135"/>
      <c r="E101" s="135"/>
      <c r="F101" s="135"/>
      <c r="G101" s="135"/>
      <c r="H101" s="135"/>
      <c r="I101" s="135"/>
      <c r="J101" s="135"/>
      <c r="K101" s="135"/>
      <c r="L101" s="135"/>
      <c r="M101" s="135"/>
    </row>
    <row r="102" spans="1:13" s="2" customFormat="1">
      <c r="B102" s="12" t="s">
        <v>158</v>
      </c>
      <c r="C102" s="156" t="s">
        <v>128</v>
      </c>
      <c r="D102" s="609">
        <f>SUM(D82,D85,D88,D91,D94,D97,D100)</f>
        <v>7.2959808351149995</v>
      </c>
      <c r="E102" s="609">
        <f t="shared" ref="E102:K102" si="34">SUM(E82,E85,E88,E91,E94,E97,E100)</f>
        <v>7.9779374569769903</v>
      </c>
      <c r="F102" s="609">
        <f t="shared" si="34"/>
        <v>11.056645964830542</v>
      </c>
      <c r="G102" s="609">
        <f t="shared" si="34"/>
        <v>9.3688219807151381</v>
      </c>
      <c r="H102" s="610">
        <f>SUM(H82,H85,H88,H91,H94,H97,H100)</f>
        <v>5.2016442323563572</v>
      </c>
      <c r="I102" s="610">
        <f t="shared" si="34"/>
        <v>10.164660715034593</v>
      </c>
      <c r="J102" s="610">
        <f t="shared" si="34"/>
        <v>13.381142204235928</v>
      </c>
      <c r="K102" s="610">
        <f t="shared" si="34"/>
        <v>9.0555018477062834</v>
      </c>
    </row>
    <row r="103" spans="1:13" s="2" customFormat="1">
      <c r="C103" s="135"/>
    </row>
    <row r="104" spans="1:13" s="2" customFormat="1">
      <c r="A104" s="35"/>
      <c r="B104" s="12" t="s">
        <v>373</v>
      </c>
      <c r="C104" s="155"/>
      <c r="D104" s="155"/>
      <c r="E104" s="155"/>
      <c r="F104" s="155"/>
      <c r="G104" s="155"/>
      <c r="H104" s="155"/>
      <c r="I104" s="155"/>
      <c r="J104" s="155"/>
      <c r="K104" s="155"/>
      <c r="L104" s="155"/>
      <c r="M104" s="155"/>
    </row>
    <row r="105" spans="1:13" s="2" customFormat="1">
      <c r="A105" s="268" t="str">
        <f>A82</f>
        <v>a</v>
      </c>
      <c r="B105" s="1012" t="str">
        <f>+B21</f>
        <v>The 2019/20 SECV incentive reward is still to be assessed by Ofgem and therefore the 2020 Actuals has been forecast on the prior 3 year average.</v>
      </c>
      <c r="C105" s="1012"/>
      <c r="D105" s="1012"/>
      <c r="E105" s="1012"/>
      <c r="F105" s="1012"/>
      <c r="G105" s="1012"/>
      <c r="H105" s="1012"/>
      <c r="I105" s="1012"/>
      <c r="J105" s="1012"/>
      <c r="K105" s="1012"/>
      <c r="L105" s="1012"/>
      <c r="M105" s="1012"/>
    </row>
    <row r="106" spans="1:13" s="2" customFormat="1">
      <c r="A106" s="268" t="str">
        <f>A85</f>
        <v>b</v>
      </c>
      <c r="B106" s="1012"/>
      <c r="C106" s="1012"/>
      <c r="D106" s="1012"/>
      <c r="E106" s="1012"/>
      <c r="F106" s="1012"/>
      <c r="G106" s="1012"/>
      <c r="H106" s="1012"/>
      <c r="I106" s="1012"/>
      <c r="J106" s="1012"/>
      <c r="K106" s="1012"/>
      <c r="L106" s="1012"/>
      <c r="M106" s="1012"/>
    </row>
    <row r="107" spans="1:13" s="2" customFormat="1">
      <c r="A107" s="268" t="str">
        <f>A88</f>
        <v>c</v>
      </c>
      <c r="B107" s="1012"/>
      <c r="C107" s="1012"/>
      <c r="D107" s="1012"/>
      <c r="E107" s="1012"/>
      <c r="F107" s="1012"/>
      <c r="G107" s="1012"/>
      <c r="H107" s="1012"/>
      <c r="I107" s="1012"/>
      <c r="J107" s="1012"/>
      <c r="K107" s="1012"/>
      <c r="L107" s="1012"/>
      <c r="M107" s="1012"/>
    </row>
    <row r="108" spans="1:13" s="2" customFormat="1">
      <c r="A108" s="268" t="str">
        <f>A91</f>
        <v>d</v>
      </c>
      <c r="B108" s="1012"/>
      <c r="C108" s="1012"/>
      <c r="D108" s="1012"/>
      <c r="E108" s="1012"/>
      <c r="F108" s="1012"/>
      <c r="G108" s="1012"/>
      <c r="H108" s="1012"/>
      <c r="I108" s="1012"/>
      <c r="J108" s="1012"/>
      <c r="K108" s="1012"/>
      <c r="L108" s="1012"/>
      <c r="M108" s="1012"/>
    </row>
    <row r="109" spans="1:13" s="2" customFormat="1">
      <c r="A109" s="268" t="str">
        <f>A94</f>
        <v>e</v>
      </c>
      <c r="B109" s="1012"/>
      <c r="C109" s="1012"/>
      <c r="D109" s="1012"/>
      <c r="E109" s="1012"/>
      <c r="F109" s="1012"/>
      <c r="G109" s="1012"/>
      <c r="H109" s="1012"/>
      <c r="I109" s="1012"/>
      <c r="J109" s="1012"/>
      <c r="K109" s="1012"/>
      <c r="L109" s="1012"/>
      <c r="M109" s="1012"/>
    </row>
    <row r="110" spans="1:13" s="2" customFormat="1">
      <c r="A110" s="268" t="str">
        <f>A97</f>
        <v>f</v>
      </c>
      <c r="B110" s="1012"/>
      <c r="C110" s="1012"/>
      <c r="D110" s="1012"/>
      <c r="E110" s="1012"/>
      <c r="F110" s="1012"/>
      <c r="G110" s="1012"/>
      <c r="H110" s="1012"/>
      <c r="I110" s="1012"/>
      <c r="J110" s="1012"/>
      <c r="K110" s="1012"/>
      <c r="L110" s="1012"/>
      <c r="M110" s="1012"/>
    </row>
    <row r="111" spans="1:13" s="2" customFormat="1">
      <c r="A111" s="268" t="str">
        <f>A100</f>
        <v>g</v>
      </c>
      <c r="B111" s="1012"/>
      <c r="C111" s="1012"/>
      <c r="D111" s="1012"/>
      <c r="E111" s="1012"/>
      <c r="F111" s="1012"/>
      <c r="G111" s="1012"/>
      <c r="H111" s="1012"/>
      <c r="I111" s="1012"/>
      <c r="J111" s="1012"/>
      <c r="K111" s="1012"/>
      <c r="L111" s="1012"/>
      <c r="M111" s="1012"/>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1"/>
      <c r="B114" s="81"/>
      <c r="C114" s="149"/>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2" priority="31">
      <formula>AND(D$5="Actuals",E$5="Forecast")</formula>
    </cfRule>
  </conditionalFormatting>
  <conditionalFormatting sqref="D5:K5">
    <cfRule type="expression" dxfId="51"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Applicable_x0020_Duration>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Props1.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85FE4-1466-4BF7-8FA9-67F63A3D57B8}">
  <ds:schemaRefs>
    <ds:schemaRef ds:uri="631298fc-6a88-4548-b7d9-3b164918c4a3"/>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23302359-0A5A-443C-AC8D-7BDD5B842A3E}">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Bartlam, Katherine</cp:lastModifiedBy>
  <cp:lastPrinted>2018-10-02T10:25:02Z</cp:lastPrinted>
  <dcterms:created xsi:type="dcterms:W3CDTF">2018-06-13T08:32:09Z</dcterms:created>
  <dcterms:modified xsi:type="dcterms:W3CDTF">2020-10-13T09:59:52Z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_AdHocReviewCycleID">
    <vt:i4>913554583</vt:i4>
  </property>
  <property fmtid="{D5CDD505-2E9C-101B-9397-08002B2CF9AE}" pid="6" name="_EmailSubject">
    <vt:lpwstr>Draft RFPR Template and Guidance [OFFICIAL ]</vt:lpwstr>
  </property>
  <property fmtid="{D5CDD505-2E9C-101B-9397-08002B2CF9AE}" pid="7" name="_AuthorEmail">
    <vt:lpwstr>agaw@spenergynetworks.co.uk</vt:lpwstr>
  </property>
  <property fmtid="{D5CDD505-2E9C-101B-9397-08002B2CF9AE}" pid="8" name="_AuthorEmailDisplayName">
    <vt:lpwstr>Gaw, Alasdair</vt:lpwstr>
  </property>
  <property fmtid="{D5CDD505-2E9C-101B-9397-08002B2CF9AE}" pid="9" name="_ReviewingToolsShownOnc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SV_QUERY_LIST_4F35BF76-6C0D-4D9B-82B2-816C12CF3733">
    <vt:lpwstr>empty_477D106A-C0D6-4607-AEBD-E2C9D60EA279</vt:lpwstr>
  </property>
  <property fmtid="{D5CDD505-2E9C-101B-9397-08002B2CF9AE}" pid="22" name="SV_HIDDEN_GRID_QUERY_LIST_4F35BF76-6C0D-4D9B-82B2-816C12CF3733">
    <vt:lpwstr>empty_477D106A-C0D6-4607-AEBD-E2C9D60EA279</vt:lpwstr>
  </property>
</Properties>
</file>