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ED1 RRPs\RRP 2019 20\RFPR\FOR RESUBMISSION 12102020\FOR WEBSITE\"/>
    </mc:Choice>
  </mc:AlternateContent>
  <bookViews>
    <workbookView xWindow="0" yWindow="0" windowWidth="30720" windowHeight="13236"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log'!$A$1:$D$60</definedName>
    <definedName name="_xlnm.Print_Area" localSheetId="2">'Content &amp; Version Control'!$A$1:$H$19</definedName>
    <definedName name="_xlnm.Print_Area" localSheetId="4">'R1 - RoRE'!$A$1:$O$47</definedName>
    <definedName name="_xlnm.Print_Area" localSheetId="13">'R10 - Tax'!$A$1:$L$46</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5" i="5" l="1"/>
  <c r="H20" i="20" l="1"/>
  <c r="G20" i="20"/>
  <c r="F20" i="20"/>
  <c r="E20" i="20"/>
  <c r="D20" i="20"/>
  <c r="K19" i="20" l="1"/>
  <c r="K20" i="20" s="1"/>
  <c r="J19" i="20"/>
  <c r="J20" i="20" s="1"/>
  <c r="I19" i="20"/>
  <c r="I20" i="20" s="1"/>
  <c r="D28" i="10" l="1"/>
  <c r="E28" i="10"/>
  <c r="D18" i="10"/>
  <c r="E78" i="15" l="1"/>
  <c r="B21" i="1" l="1"/>
  <c r="B3" i="1" l="1"/>
  <c r="K21" i="20" l="1"/>
  <c r="J21" i="20"/>
  <c r="I21" i="20"/>
  <c r="H21" i="20"/>
  <c r="G21" i="20"/>
  <c r="F21" i="20"/>
  <c r="E21" i="20"/>
  <c r="D21" i="20"/>
  <c r="K14" i="20"/>
  <c r="K16" i="20" s="1"/>
  <c r="J14" i="20"/>
  <c r="J16" i="20" s="1"/>
  <c r="I14" i="20"/>
  <c r="I16" i="20" s="1"/>
  <c r="H14" i="20"/>
  <c r="H16" i="20" s="1"/>
  <c r="G14" i="20"/>
  <c r="G16" i="20" s="1"/>
  <c r="F14" i="20"/>
  <c r="F16" i="20" s="1"/>
  <c r="E14" i="20"/>
  <c r="E16" i="20" s="1"/>
  <c r="D14" i="20"/>
  <c r="D16" i="20" s="1"/>
  <c r="A3" i="20"/>
  <c r="A2" i="20"/>
  <c r="D36" i="19"/>
  <c r="D35" i="19"/>
  <c r="K19" i="19"/>
  <c r="J19" i="19"/>
  <c r="I19" i="19"/>
  <c r="H19" i="19"/>
  <c r="G19" i="19"/>
  <c r="F19" i="19"/>
  <c r="E19" i="19"/>
  <c r="D19" i="19"/>
  <c r="A3" i="19"/>
  <c r="A2" i="19"/>
  <c r="K13" i="11"/>
  <c r="J13" i="11"/>
  <c r="I13" i="11"/>
  <c r="G13" i="11"/>
  <c r="F13" i="11"/>
  <c r="E13" i="11"/>
  <c r="D13" i="11"/>
  <c r="B3" i="11"/>
  <c r="A3" i="11"/>
  <c r="A2" i="11"/>
  <c r="K63" i="29"/>
  <c r="J63" i="29"/>
  <c r="I63" i="29"/>
  <c r="H63" i="29"/>
  <c r="G63" i="29"/>
  <c r="F63" i="29"/>
  <c r="E63" i="29"/>
  <c r="D63" i="29"/>
  <c r="K19" i="29"/>
  <c r="J19" i="29"/>
  <c r="I19" i="29"/>
  <c r="H19" i="29"/>
  <c r="G19" i="29"/>
  <c r="F19" i="29"/>
  <c r="E19" i="29"/>
  <c r="D19" i="29"/>
  <c r="A3" i="29"/>
  <c r="A2" i="29"/>
  <c r="K28" i="10"/>
  <c r="J28" i="10"/>
  <c r="I28" i="10"/>
  <c r="H28" i="10"/>
  <c r="G28" i="10"/>
  <c r="F28" i="10"/>
  <c r="A3" i="10"/>
  <c r="A2" i="10"/>
  <c r="B3" i="27"/>
  <c r="A3" i="27"/>
  <c r="A2" i="27"/>
  <c r="L6" i="17"/>
  <c r="B3" i="17"/>
  <c r="A3" i="17"/>
  <c r="A2" i="17"/>
  <c r="K17" i="3"/>
  <c r="J17" i="3"/>
  <c r="J18" i="4" s="1"/>
  <c r="I17" i="3"/>
  <c r="I18" i="4" s="1"/>
  <c r="H17" i="3"/>
  <c r="H18" i="4" s="1"/>
  <c r="G17" i="3"/>
  <c r="F17" i="3"/>
  <c r="E17" i="3"/>
  <c r="E18" i="4" s="1"/>
  <c r="D17" i="3"/>
  <c r="H12" i="3"/>
  <c r="H17" i="4" s="1"/>
  <c r="G12" i="3"/>
  <c r="G17" i="4" s="1"/>
  <c r="F12" i="3"/>
  <c r="E12" i="3"/>
  <c r="E17" i="4" s="1"/>
  <c r="D12" i="3"/>
  <c r="B3" i="3"/>
  <c r="A3" i="3"/>
  <c r="A2" i="3"/>
  <c r="A111" i="5"/>
  <c r="A110" i="5"/>
  <c r="A109" i="5"/>
  <c r="A108" i="5"/>
  <c r="A107" i="5"/>
  <c r="A106" i="5"/>
  <c r="A105" i="5"/>
  <c r="G102" i="5"/>
  <c r="G15" i="4" s="1"/>
  <c r="F102" i="5"/>
  <c r="E102" i="5"/>
  <c r="E15" i="4" s="1"/>
  <c r="D102" i="5"/>
  <c r="A100" i="5"/>
  <c r="A97" i="5"/>
  <c r="A94" i="5"/>
  <c r="A91" i="5"/>
  <c r="A88" i="5"/>
  <c r="A85" i="5"/>
  <c r="A82" i="5"/>
  <c r="K73" i="5"/>
  <c r="J73" i="5"/>
  <c r="I73" i="5"/>
  <c r="H73" i="5"/>
  <c r="G73" i="5"/>
  <c r="F73" i="5"/>
  <c r="E73" i="5"/>
  <c r="D73" i="5"/>
  <c r="K69" i="5"/>
  <c r="J69" i="5"/>
  <c r="I69" i="5"/>
  <c r="H69" i="5"/>
  <c r="G69" i="5"/>
  <c r="F69" i="5"/>
  <c r="E69" i="5"/>
  <c r="D69" i="5"/>
  <c r="A69" i="5"/>
  <c r="K65" i="5"/>
  <c r="J65" i="5"/>
  <c r="I65" i="5"/>
  <c r="H65" i="5"/>
  <c r="G65" i="5"/>
  <c r="F65" i="5"/>
  <c r="E65" i="5"/>
  <c r="D65" i="5"/>
  <c r="A65" i="5"/>
  <c r="K61" i="5"/>
  <c r="J61" i="5"/>
  <c r="I61" i="5"/>
  <c r="H61" i="5"/>
  <c r="G61" i="5"/>
  <c r="F61" i="5"/>
  <c r="E61" i="5"/>
  <c r="D61" i="5"/>
  <c r="A61" i="5"/>
  <c r="K57" i="5"/>
  <c r="J57" i="5"/>
  <c r="I57" i="5"/>
  <c r="H57" i="5"/>
  <c r="G57" i="5"/>
  <c r="F57" i="5"/>
  <c r="E57" i="5"/>
  <c r="D57" i="5"/>
  <c r="A57" i="5"/>
  <c r="G53" i="5"/>
  <c r="F53" i="5"/>
  <c r="E53" i="5"/>
  <c r="D53" i="5"/>
  <c r="A53" i="5"/>
  <c r="K49" i="5"/>
  <c r="J49" i="5"/>
  <c r="I49" i="5"/>
  <c r="H49" i="5"/>
  <c r="G49" i="5"/>
  <c r="F49" i="5"/>
  <c r="E49" i="5"/>
  <c r="D49" i="5"/>
  <c r="A49" i="5"/>
  <c r="A45" i="5"/>
  <c r="A44" i="5"/>
  <c r="A43" i="5"/>
  <c r="A42" i="5"/>
  <c r="A41" i="5"/>
  <c r="A40" i="5"/>
  <c r="A39" i="5"/>
  <c r="A25" i="5"/>
  <c r="A24" i="5"/>
  <c r="A23" i="5"/>
  <c r="A22" i="5"/>
  <c r="A21" i="5"/>
  <c r="G18" i="5"/>
  <c r="F18" i="5"/>
  <c r="E18" i="5"/>
  <c r="D18" i="5"/>
  <c r="M17" i="5"/>
  <c r="M16" i="5"/>
  <c r="M15" i="5"/>
  <c r="M14" i="5"/>
  <c r="M13" i="5"/>
  <c r="M11"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M56" i="2"/>
  <c r="K56" i="2"/>
  <c r="J56" i="2"/>
  <c r="I56" i="2"/>
  <c r="H56" i="2"/>
  <c r="G56" i="2"/>
  <c r="F56" i="2"/>
  <c r="E56" i="2"/>
  <c r="D56" i="2"/>
  <c r="M55" i="2"/>
  <c r="M54" i="2"/>
  <c r="M53" i="2"/>
  <c r="M52" i="2"/>
  <c r="M51" i="2"/>
  <c r="M50" i="2"/>
  <c r="K44" i="2"/>
  <c r="K47" i="2" s="1"/>
  <c r="J44" i="2"/>
  <c r="I44" i="2"/>
  <c r="I58" i="2" s="1"/>
  <c r="H44" i="2"/>
  <c r="H58" i="2" s="1"/>
  <c r="G44" i="2"/>
  <c r="F44" i="2"/>
  <c r="F46" i="2" s="1"/>
  <c r="E44" i="2"/>
  <c r="E58" i="2" s="1"/>
  <c r="D44" i="2"/>
  <c r="M42" i="2"/>
  <c r="K42" i="2"/>
  <c r="J42" i="2"/>
  <c r="I42" i="2"/>
  <c r="H42" i="2"/>
  <c r="G42" i="2"/>
  <c r="F42" i="2"/>
  <c r="E42" i="2"/>
  <c r="D42" i="2"/>
  <c r="M41" i="2"/>
  <c r="M40" i="2"/>
  <c r="K28" i="2"/>
  <c r="J28" i="2"/>
  <c r="I28" i="2"/>
  <c r="H28" i="2"/>
  <c r="G28" i="2"/>
  <c r="F28" i="2"/>
  <c r="E28" i="2"/>
  <c r="D28" i="2"/>
  <c r="M27" i="2"/>
  <c r="M26" i="2"/>
  <c r="M25" i="2"/>
  <c r="M24" i="2"/>
  <c r="M23" i="2"/>
  <c r="M22" i="2"/>
  <c r="K16" i="2"/>
  <c r="J16" i="2"/>
  <c r="I16" i="2"/>
  <c r="H16" i="2"/>
  <c r="G16" i="2"/>
  <c r="F16" i="2"/>
  <c r="E16" i="2"/>
  <c r="D16" i="2"/>
  <c r="K14" i="2"/>
  <c r="J14" i="2"/>
  <c r="I14" i="2"/>
  <c r="H14" i="2"/>
  <c r="G14" i="2"/>
  <c r="F14" i="2"/>
  <c r="E14" i="2"/>
  <c r="D14" i="2"/>
  <c r="M13" i="2"/>
  <c r="M12" i="2"/>
  <c r="L6" i="2"/>
  <c r="A3" i="2"/>
  <c r="A2" i="2"/>
  <c r="K80" i="15"/>
  <c r="J80" i="15"/>
  <c r="I80" i="15"/>
  <c r="K78" i="15"/>
  <c r="J78" i="15"/>
  <c r="I78" i="15"/>
  <c r="G78" i="15"/>
  <c r="F78" i="15"/>
  <c r="D78" i="15"/>
  <c r="K48" i="15"/>
  <c r="J48" i="15"/>
  <c r="I48" i="15"/>
  <c r="K46" i="15"/>
  <c r="J46" i="15"/>
  <c r="I46" i="15"/>
  <c r="G46" i="15"/>
  <c r="F46" i="15"/>
  <c r="E46" i="15"/>
  <c r="D46" i="15"/>
  <c r="K23" i="15"/>
  <c r="J23" i="15"/>
  <c r="I23" i="15"/>
  <c r="K18" i="15"/>
  <c r="J18" i="15"/>
  <c r="I18" i="15"/>
  <c r="G18" i="15"/>
  <c r="G23" i="15" s="1"/>
  <c r="F18" i="15"/>
  <c r="F23" i="15" s="1"/>
  <c r="E18" i="15"/>
  <c r="E23" i="15" s="1"/>
  <c r="D18" i="15"/>
  <c r="D23" i="15" s="1"/>
  <c r="A3" i="15"/>
  <c r="A2" i="15"/>
  <c r="K68" i="4"/>
  <c r="J68" i="4"/>
  <c r="I68" i="4"/>
  <c r="K66" i="4"/>
  <c r="J66" i="4"/>
  <c r="I66" i="4"/>
  <c r="K64" i="4"/>
  <c r="J64" i="4"/>
  <c r="I64" i="4"/>
  <c r="H64" i="4"/>
  <c r="G64" i="4"/>
  <c r="F64" i="4"/>
  <c r="E64" i="4"/>
  <c r="D64" i="4"/>
  <c r="K45" i="4"/>
  <c r="J45" i="4"/>
  <c r="I45" i="4"/>
  <c r="H45" i="4"/>
  <c r="G45" i="4"/>
  <c r="G66" i="4" s="1"/>
  <c r="G68" i="4" s="1"/>
  <c r="F45" i="4"/>
  <c r="E45" i="4"/>
  <c r="E66" i="4" s="1"/>
  <c r="E68" i="4" s="1"/>
  <c r="D45" i="4"/>
  <c r="D66" i="4" s="1"/>
  <c r="D68" i="4" s="1"/>
  <c r="K28" i="4"/>
  <c r="J28" i="4"/>
  <c r="I28" i="4"/>
  <c r="K18" i="4"/>
  <c r="G18" i="4"/>
  <c r="F18" i="4"/>
  <c r="D18" i="4"/>
  <c r="F17" i="4"/>
  <c r="D17" i="4"/>
  <c r="F15" i="4"/>
  <c r="D15" i="4"/>
  <c r="K14" i="4"/>
  <c r="J14" i="4"/>
  <c r="I14" i="4"/>
  <c r="H14" i="4"/>
  <c r="G14" i="4"/>
  <c r="F14" i="4"/>
  <c r="E14" i="4"/>
  <c r="D14" i="4"/>
  <c r="A3" i="4"/>
  <c r="A2" i="4"/>
  <c r="B42" i="1"/>
  <c r="B39" i="1"/>
  <c r="B38" i="1"/>
  <c r="B37" i="1"/>
  <c r="B31" i="1"/>
  <c r="B30" i="1"/>
  <c r="B23" i="1"/>
  <c r="B22" i="1"/>
  <c r="B20" i="1"/>
  <c r="B19" i="1"/>
  <c r="B18" i="1"/>
  <c r="B12" i="1"/>
  <c r="B11" i="1"/>
  <c r="M6" i="1"/>
  <c r="A3" i="1"/>
  <c r="A2" i="1"/>
  <c r="A3" i="14"/>
  <c r="A2" i="14"/>
  <c r="A3" i="21"/>
  <c r="A2" i="21"/>
  <c r="E202" i="28"/>
  <c r="B202" i="28"/>
  <c r="E192" i="28"/>
  <c r="B192" i="28"/>
  <c r="E182" i="28"/>
  <c r="B182" i="28"/>
  <c r="F159" i="28"/>
  <c r="F158" i="28"/>
  <c r="F157" i="28"/>
  <c r="F156" i="28"/>
  <c r="F155" i="28"/>
  <c r="F154" i="28"/>
  <c r="F153" i="28"/>
  <c r="F152" i="28"/>
  <c r="L118" i="28"/>
  <c r="K118" i="28"/>
  <c r="J118" i="28"/>
  <c r="I118" i="28"/>
  <c r="H118" i="28"/>
  <c r="G118" i="28"/>
  <c r="F118" i="28"/>
  <c r="E118" i="28"/>
  <c r="D118" i="28"/>
  <c r="J105" i="28"/>
  <c r="I105" i="28"/>
  <c r="H105" i="28"/>
  <c r="G105" i="28"/>
  <c r="F105" i="28"/>
  <c r="E105" i="28"/>
  <c r="D105" i="28"/>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T85" i="28"/>
  <c r="S85" i="28"/>
  <c r="R85" i="28"/>
  <c r="Q85" i="28"/>
  <c r="P85" i="28"/>
  <c r="O85" i="28"/>
  <c r="N85" i="28"/>
  <c r="M85" i="28"/>
  <c r="H85" i="28"/>
  <c r="T84" i="28"/>
  <c r="K40" i="10" s="1"/>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T72" i="28"/>
  <c r="S72" i="28"/>
  <c r="R72" i="28"/>
  <c r="Q72" i="28"/>
  <c r="P72" i="28"/>
  <c r="O72" i="28"/>
  <c r="N72" i="28"/>
  <c r="M72" i="28"/>
  <c r="L72" i="28"/>
  <c r="L62" i="28"/>
  <c r="K62" i="28"/>
  <c r="J62" i="28"/>
  <c r="I62" i="28"/>
  <c r="H62" i="28"/>
  <c r="G62" i="28"/>
  <c r="F62" i="28"/>
  <c r="E62" i="28"/>
  <c r="D62" i="28"/>
  <c r="J51" i="28"/>
  <c r="I51" i="28"/>
  <c r="H51" i="28"/>
  <c r="G51" i="28"/>
  <c r="F51" i="28"/>
  <c r="E51" i="28"/>
  <c r="D51" i="28"/>
  <c r="C51" i="28"/>
  <c r="J50" i="28"/>
  <c r="I50" i="28"/>
  <c r="H50" i="28"/>
  <c r="G50" i="28"/>
  <c r="F50" i="28"/>
  <c r="E50" i="28"/>
  <c r="D50" i="28"/>
  <c r="C48" i="28"/>
  <c r="B45" i="28"/>
  <c r="J43" i="28"/>
  <c r="I43" i="28"/>
  <c r="H43" i="28"/>
  <c r="F25" i="28" s="1"/>
  <c r="J42" i="28"/>
  <c r="I42" i="28"/>
  <c r="H42" i="28"/>
  <c r="G42" i="28"/>
  <c r="F42" i="28"/>
  <c r="E42" i="28"/>
  <c r="J38" i="28"/>
  <c r="I38" i="28"/>
  <c r="H38" i="28"/>
  <c r="G38" i="28"/>
  <c r="F38" i="28"/>
  <c r="E38" i="28"/>
  <c r="D30" i="28"/>
  <c r="D29" i="28"/>
  <c r="D28" i="28"/>
  <c r="D27" i="28"/>
  <c r="D26" i="28"/>
  <c r="D25" i="28"/>
  <c r="D24" i="28"/>
  <c r="D23" i="28"/>
  <c r="D22" i="28"/>
  <c r="D21" i="28"/>
  <c r="D20" i="28"/>
  <c r="D19" i="28"/>
  <c r="D18" i="28"/>
  <c r="D17" i="28"/>
  <c r="D16" i="28"/>
  <c r="D15" i="28"/>
  <c r="D14" i="28"/>
  <c r="A3" i="28"/>
  <c r="A2" i="28"/>
  <c r="C14" i="13"/>
  <c r="C42" i="2" s="1"/>
  <c r="C13" i="13"/>
  <c r="D6" i="15" s="1"/>
  <c r="C12" i="13"/>
  <c r="C11" i="13"/>
  <c r="C10" i="13"/>
  <c r="C6" i="13"/>
  <c r="E156" i="28" s="1"/>
  <c r="A3" i="13"/>
  <c r="A2" i="13"/>
  <c r="D26" i="4" l="1"/>
  <c r="D28" i="4" s="1"/>
  <c r="K31" i="2"/>
  <c r="H66" i="4"/>
  <c r="H68" i="4" s="1"/>
  <c r="F66" i="4"/>
  <c r="F68" i="4" s="1"/>
  <c r="G26" i="4"/>
  <c r="G28" i="4" s="1"/>
  <c r="I31" i="2"/>
  <c r="M61" i="5"/>
  <c r="F26" i="4"/>
  <c r="F28" i="4" s="1"/>
  <c r="E26" i="4"/>
  <c r="E28" i="4" s="1"/>
  <c r="E31" i="2"/>
  <c r="M28" i="2"/>
  <c r="M65" i="5"/>
  <c r="M69" i="5"/>
  <c r="M73" i="5"/>
  <c r="M49" i="5"/>
  <c r="M57" i="5"/>
  <c r="F48" i="15"/>
  <c r="F80" i="15" s="1"/>
  <c r="M14" i="2"/>
  <c r="D19" i="2"/>
  <c r="F31" i="2"/>
  <c r="G19" i="2"/>
  <c r="J18" i="2"/>
  <c r="G48" i="15"/>
  <c r="D48" i="15"/>
  <c r="D80" i="15" s="1"/>
  <c r="E48" i="15"/>
  <c r="E80" i="15" s="1"/>
  <c r="I59" i="2"/>
  <c r="K46" i="2"/>
  <c r="G18" i="2"/>
  <c r="K18" i="2"/>
  <c r="G30" i="2"/>
  <c r="F47" i="2"/>
  <c r="G31" i="2"/>
  <c r="E46" i="2"/>
  <c r="E62" i="2" s="1"/>
  <c r="I46" i="2"/>
  <c r="I62" i="2" s="1"/>
  <c r="E59" i="2"/>
  <c r="E6" i="15"/>
  <c r="D5" i="15"/>
  <c r="E154" i="28"/>
  <c r="E159" i="28"/>
  <c r="C51" i="1"/>
  <c r="C55" i="1"/>
  <c r="C61" i="1"/>
  <c r="C11" i="4"/>
  <c r="J47" i="29"/>
  <c r="F47" i="29"/>
  <c r="J42" i="10"/>
  <c r="F42" i="10"/>
  <c r="I47" i="29"/>
  <c r="E47" i="29"/>
  <c r="I42" i="10"/>
  <c r="E42" i="10"/>
  <c r="H47" i="29"/>
  <c r="D47" i="29"/>
  <c r="H42" i="10"/>
  <c r="D42" i="10"/>
  <c r="K42" i="10"/>
  <c r="K47" i="29"/>
  <c r="G42" i="10"/>
  <c r="G47" i="29"/>
  <c r="C33" i="28"/>
  <c r="C50" i="1"/>
  <c r="C54" i="1"/>
  <c r="C66" i="1"/>
  <c r="E157" i="28"/>
  <c r="E153" i="28"/>
  <c r="D6" i="20"/>
  <c r="D6" i="19"/>
  <c r="D6" i="3"/>
  <c r="D6" i="10"/>
  <c r="D5" i="10" s="1"/>
  <c r="D6" i="27"/>
  <c r="D6" i="11"/>
  <c r="D6" i="29"/>
  <c r="D5" i="29" s="1"/>
  <c r="D6" i="17"/>
  <c r="E6" i="17" s="1"/>
  <c r="D6" i="4"/>
  <c r="D6" i="1"/>
  <c r="D6" i="2"/>
  <c r="D6" i="5"/>
  <c r="B48" i="28"/>
  <c r="B10" i="2" s="1"/>
  <c r="B88" i="2" s="1"/>
  <c r="B149" i="28"/>
  <c r="E158" i="28"/>
  <c r="C48" i="1"/>
  <c r="C53" i="1"/>
  <c r="C12" i="2"/>
  <c r="F58" i="2"/>
  <c r="F62" i="2" s="1"/>
  <c r="F59" i="2"/>
  <c r="J58" i="2"/>
  <c r="J59" i="2"/>
  <c r="J47" i="2"/>
  <c r="J46" i="2"/>
  <c r="J41" i="10"/>
  <c r="F41" i="10"/>
  <c r="I41" i="10"/>
  <c r="E41" i="10"/>
  <c r="H41" i="10"/>
  <c r="D41" i="10"/>
  <c r="G41" i="10"/>
  <c r="K41" i="10"/>
  <c r="C8" i="20"/>
  <c r="C14" i="19"/>
  <c r="C87" i="29"/>
  <c r="C75" i="29"/>
  <c r="C69" i="29"/>
  <c r="C62" i="29"/>
  <c r="C47" i="10"/>
  <c r="C29" i="10"/>
  <c r="C25" i="10"/>
  <c r="C21" i="10"/>
  <c r="C17" i="10"/>
  <c r="C16" i="10"/>
  <c r="C28" i="3"/>
  <c r="C19" i="19"/>
  <c r="C84" i="29"/>
  <c r="C74" i="29"/>
  <c r="C68" i="29"/>
  <c r="C61" i="29"/>
  <c r="C51" i="10"/>
  <c r="C46" i="10"/>
  <c r="C28" i="10"/>
  <c r="C24" i="10"/>
  <c r="C20" i="10"/>
  <c r="C11" i="10"/>
  <c r="C18" i="19"/>
  <c r="C90" i="29"/>
  <c r="C82" i="29"/>
  <c r="C73" i="29"/>
  <c r="C67" i="29"/>
  <c r="C54" i="29"/>
  <c r="C50" i="10"/>
  <c r="C45" i="10"/>
  <c r="C27" i="10"/>
  <c r="C23" i="10"/>
  <c r="C19" i="10"/>
  <c r="C17" i="19"/>
  <c r="C72" i="29"/>
  <c r="C42" i="29"/>
  <c r="C49" i="10"/>
  <c r="C26" i="10"/>
  <c r="C69" i="5"/>
  <c r="C53" i="5"/>
  <c r="C43" i="5"/>
  <c r="C39" i="5"/>
  <c r="C17" i="5"/>
  <c r="C16" i="5"/>
  <c r="C15" i="5"/>
  <c r="C14" i="5"/>
  <c r="C13" i="5"/>
  <c r="C12" i="5"/>
  <c r="C11" i="5"/>
  <c r="C63" i="29"/>
  <c r="C22" i="10"/>
  <c r="C89" i="29"/>
  <c r="C18" i="10"/>
  <c r="C73" i="5"/>
  <c r="C61" i="5"/>
  <c r="C80" i="29"/>
  <c r="C31" i="10"/>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s="1"/>
  <c r="B116" i="2" s="1"/>
  <c r="E152" i="28"/>
  <c r="B153" i="28" s="1"/>
  <c r="E155" i="28"/>
  <c r="C52" i="1"/>
  <c r="C57" i="1"/>
  <c r="D30" i="2"/>
  <c r="D31" i="2"/>
  <c r="D18" i="2"/>
  <c r="H30" i="2"/>
  <c r="H31" i="2"/>
  <c r="H18" i="2"/>
  <c r="C18" i="2"/>
  <c r="H19" i="2"/>
  <c r="C24" i="2"/>
  <c r="C27" i="2"/>
  <c r="E19" i="2"/>
  <c r="I19" i="2"/>
  <c r="I30" i="2"/>
  <c r="G58" i="2"/>
  <c r="G59" i="2"/>
  <c r="K58" i="2"/>
  <c r="K59" i="2"/>
  <c r="K63" i="2" s="1"/>
  <c r="G46" i="2"/>
  <c r="G47" i="2"/>
  <c r="E18" i="2"/>
  <c r="I18" i="2"/>
  <c r="F19" i="2"/>
  <c r="J19" i="2"/>
  <c r="E30" i="2"/>
  <c r="J30" i="2"/>
  <c r="J31" i="2"/>
  <c r="D59" i="2"/>
  <c r="D46" i="2"/>
  <c r="H59" i="2"/>
  <c r="H46" i="2"/>
  <c r="H62" i="2" s="1"/>
  <c r="H47" i="2"/>
  <c r="F18" i="2"/>
  <c r="K19" i="2"/>
  <c r="F30" i="2"/>
  <c r="K30" i="2"/>
  <c r="D47" i="2"/>
  <c r="D58" i="2"/>
  <c r="E47" i="2"/>
  <c r="I47" i="2"/>
  <c r="I63" i="2" s="1"/>
  <c r="E25" i="28"/>
  <c r="F26" i="28"/>
  <c r="K35" i="2" l="1"/>
  <c r="K70" i="2" s="1"/>
  <c r="I35" i="2"/>
  <c r="I49" i="1" s="1"/>
  <c r="E35" i="2"/>
  <c r="F35" i="2"/>
  <c r="G35" i="2"/>
  <c r="G70" i="2" s="1"/>
  <c r="J34" i="2"/>
  <c r="D50" i="15"/>
  <c r="G80" i="15"/>
  <c r="I34" i="2"/>
  <c r="I69" i="2" s="1"/>
  <c r="G63" i="2"/>
  <c r="G62" i="2"/>
  <c r="K62" i="2"/>
  <c r="G34" i="2"/>
  <c r="K34" i="2"/>
  <c r="K36" i="2" s="1"/>
  <c r="I64" i="2"/>
  <c r="J35" i="2"/>
  <c r="F63" i="2"/>
  <c r="M58" i="2"/>
  <c r="M59" i="2"/>
  <c r="H35" i="2"/>
  <c r="E63" i="2"/>
  <c r="E64" i="2" s="1"/>
  <c r="D78" i="2"/>
  <c r="E6" i="2"/>
  <c r="D5" i="2"/>
  <c r="D77" i="2"/>
  <c r="E6" i="27"/>
  <c r="D5" i="27"/>
  <c r="D5" i="20"/>
  <c r="E6" i="20"/>
  <c r="F6" i="15"/>
  <c r="E5" i="15"/>
  <c r="E50" i="15" s="1"/>
  <c r="F34" i="2"/>
  <c r="H34" i="2"/>
  <c r="M31" i="2"/>
  <c r="D5" i="1"/>
  <c r="E6" i="1"/>
  <c r="E6" i="29"/>
  <c r="E5" i="29" s="1"/>
  <c r="D22" i="29"/>
  <c r="E6" i="10"/>
  <c r="E5" i="10" s="1"/>
  <c r="D40" i="10"/>
  <c r="D43" i="10" s="1"/>
  <c r="D36" i="10"/>
  <c r="D63" i="2"/>
  <c r="M47" i="2"/>
  <c r="G64" i="2"/>
  <c r="D34" i="2"/>
  <c r="M18" i="2"/>
  <c r="H63" i="2"/>
  <c r="D62" i="2"/>
  <c r="M46" i="2"/>
  <c r="E34" i="2"/>
  <c r="M30" i="2"/>
  <c r="B159" i="28"/>
  <c r="B17" i="5" s="1"/>
  <c r="B160" i="28"/>
  <c r="B156" i="28"/>
  <c r="B14" i="5" s="1"/>
  <c r="B157" i="28"/>
  <c r="B15" i="5" s="1"/>
  <c r="B154" i="28"/>
  <c r="B12" i="5" s="1"/>
  <c r="B155" i="28"/>
  <c r="B13" i="5" s="1"/>
  <c r="B158" i="28"/>
  <c r="B16" i="5" s="1"/>
  <c r="B11" i="5"/>
  <c r="J62" i="2"/>
  <c r="D5" i="4"/>
  <c r="E6" i="4"/>
  <c r="D5" i="3"/>
  <c r="E6" i="3"/>
  <c r="M19" i="2"/>
  <c r="J63" i="2"/>
  <c r="D99" i="5"/>
  <c r="D93" i="5"/>
  <c r="D87" i="5"/>
  <c r="D81" i="5"/>
  <c r="D96" i="5"/>
  <c r="D90" i="5"/>
  <c r="D84" i="5"/>
  <c r="D66" i="5"/>
  <c r="D67" i="5" s="1"/>
  <c r="D50" i="5"/>
  <c r="D51" i="5" s="1"/>
  <c r="D70" i="5"/>
  <c r="D71" i="5" s="1"/>
  <c r="D58" i="5"/>
  <c r="D59" i="5" s="1"/>
  <c r="D74" i="5"/>
  <c r="D75" i="5" s="1"/>
  <c r="D62" i="5"/>
  <c r="D63" i="5" s="1"/>
  <c r="D5" i="5"/>
  <c r="E6" i="5"/>
  <c r="D54" i="5"/>
  <c r="D55" i="5" s="1"/>
  <c r="D5" i="17"/>
  <c r="E6" i="11"/>
  <c r="D5" i="11"/>
  <c r="D5" i="19"/>
  <c r="E6" i="19"/>
  <c r="D33" i="28"/>
  <c r="C36" i="28"/>
  <c r="C35" i="28"/>
  <c r="D34" i="10" s="1"/>
  <c r="C34" i="28"/>
  <c r="C32" i="28"/>
  <c r="D35" i="2"/>
  <c r="E26" i="28"/>
  <c r="F27" i="28"/>
  <c r="E5" i="17"/>
  <c r="F6" i="17"/>
  <c r="K49" i="1" l="1"/>
  <c r="I70" i="2"/>
  <c r="I71" i="2" s="1"/>
  <c r="F70" i="2"/>
  <c r="I36" i="2"/>
  <c r="G49" i="1"/>
  <c r="G36" i="2"/>
  <c r="J36" i="2"/>
  <c r="K69" i="2"/>
  <c r="K71" i="2" s="1"/>
  <c r="G69" i="2"/>
  <c r="G71" i="2" s="1"/>
  <c r="K64" i="2"/>
  <c r="J70" i="2"/>
  <c r="F64" i="2"/>
  <c r="F49" i="1"/>
  <c r="E49" i="1"/>
  <c r="H70" i="2"/>
  <c r="J64" i="2"/>
  <c r="E70" i="2"/>
  <c r="H49" i="1"/>
  <c r="D79" i="2"/>
  <c r="D50" i="1" s="1"/>
  <c r="D70" i="2"/>
  <c r="D49" i="1"/>
  <c r="M35" i="2"/>
  <c r="D42" i="5"/>
  <c r="D41" i="5"/>
  <c r="B49" i="5"/>
  <c r="B82" i="5"/>
  <c r="B39" i="5"/>
  <c r="B51" i="1" s="1"/>
  <c r="B94" i="5"/>
  <c r="B65" i="5"/>
  <c r="B43" i="5"/>
  <c r="B55" i="1" s="1"/>
  <c r="M63" i="2"/>
  <c r="H69" i="2"/>
  <c r="H36" i="2"/>
  <c r="E78" i="2"/>
  <c r="E77" i="2"/>
  <c r="E5" i="2"/>
  <c r="F6" i="2"/>
  <c r="E33" i="28"/>
  <c r="D36" i="28"/>
  <c r="D35" i="28"/>
  <c r="E34" i="10" s="1"/>
  <c r="D34" i="28"/>
  <c r="H88" i="5" s="1"/>
  <c r="D32" i="28"/>
  <c r="F6" i="11"/>
  <c r="E5" i="11"/>
  <c r="F6" i="4"/>
  <c r="E5" i="4"/>
  <c r="B97" i="5"/>
  <c r="B44" i="5"/>
  <c r="B69" i="5"/>
  <c r="B91" i="5"/>
  <c r="B61" i="5"/>
  <c r="B42" i="5"/>
  <c r="B54" i="1" s="1"/>
  <c r="M62" i="2"/>
  <c r="D64" i="2"/>
  <c r="D69" i="2"/>
  <c r="D36" i="2"/>
  <c r="M34" i="2"/>
  <c r="F6" i="29"/>
  <c r="F5" i="29" s="1"/>
  <c r="E22" i="29"/>
  <c r="H64" i="2"/>
  <c r="J69" i="2"/>
  <c r="D35" i="10"/>
  <c r="D40" i="29"/>
  <c r="D8" i="20"/>
  <c r="D57" i="1" s="1"/>
  <c r="D14" i="19"/>
  <c r="D86" i="2"/>
  <c r="D90" i="2" s="1"/>
  <c r="D28" i="3"/>
  <c r="D56" i="1" s="1"/>
  <c r="F6" i="19"/>
  <c r="E5" i="19"/>
  <c r="D40" i="5"/>
  <c r="E96" i="5"/>
  <c r="E90" i="5"/>
  <c r="E84" i="5"/>
  <c r="E99" i="5"/>
  <c r="E70" i="5"/>
  <c r="E71" i="5" s="1"/>
  <c r="E44" i="5" s="1"/>
  <c r="E54" i="5"/>
  <c r="E55" i="5" s="1"/>
  <c r="E40" i="5" s="1"/>
  <c r="E52" i="1" s="1"/>
  <c r="F6" i="5"/>
  <c r="E81" i="5"/>
  <c r="E87" i="5"/>
  <c r="E74" i="5"/>
  <c r="E75" i="5" s="1"/>
  <c r="E45" i="5" s="1"/>
  <c r="E62" i="5"/>
  <c r="E63" i="5" s="1"/>
  <c r="E42" i="5" s="1"/>
  <c r="E54" i="1" s="1"/>
  <c r="E93" i="5"/>
  <c r="E66" i="5"/>
  <c r="E67" i="5" s="1"/>
  <c r="E43" i="5" s="1"/>
  <c r="E55" i="1" s="1"/>
  <c r="E50" i="5"/>
  <c r="E51" i="5" s="1"/>
  <c r="E39" i="5" s="1"/>
  <c r="E5" i="5"/>
  <c r="E58" i="5"/>
  <c r="E59" i="5" s="1"/>
  <c r="E41" i="5" s="1"/>
  <c r="E53" i="1" s="1"/>
  <c r="D43" i="5"/>
  <c r="B57" i="5"/>
  <c r="B88" i="5"/>
  <c r="B41" i="5"/>
  <c r="B53" i="1" s="1"/>
  <c r="E40" i="10"/>
  <c r="E43" i="10" s="1"/>
  <c r="F6" i="10"/>
  <c r="F5" i="10" s="1"/>
  <c r="F6" i="1"/>
  <c r="E5" i="1"/>
  <c r="G6" i="15"/>
  <c r="F5" i="15"/>
  <c r="F50" i="15" s="1"/>
  <c r="E5" i="27"/>
  <c r="F6" i="27"/>
  <c r="J49" i="1"/>
  <c r="D45" i="5"/>
  <c r="D44" i="5"/>
  <c r="D39" i="5"/>
  <c r="F6" i="3"/>
  <c r="E5" i="3"/>
  <c r="B85" i="5"/>
  <c r="B40" i="5"/>
  <c r="B52" i="1" s="1"/>
  <c r="B53" i="5"/>
  <c r="B100" i="5"/>
  <c r="B73" i="5"/>
  <c r="B45" i="5"/>
  <c r="E36" i="2"/>
  <c r="E69" i="2"/>
  <c r="F69" i="2"/>
  <c r="F36" i="2"/>
  <c r="F6" i="20"/>
  <c r="E5" i="20"/>
  <c r="E27" i="28"/>
  <c r="G6" i="17"/>
  <c r="F5" i="17"/>
  <c r="F71" i="2" l="1"/>
  <c r="J71" i="2"/>
  <c r="H71" i="2"/>
  <c r="E71" i="2"/>
  <c r="M70" i="2"/>
  <c r="B33" i="1"/>
  <c r="B14" i="1"/>
  <c r="D46" i="5"/>
  <c r="D51" i="1"/>
  <c r="G6" i="19"/>
  <c r="F5" i="19"/>
  <c r="G6" i="4"/>
  <c r="F5" i="4"/>
  <c r="E8" i="20"/>
  <c r="E57" i="1" s="1"/>
  <c r="E35" i="10"/>
  <c r="E14" i="19"/>
  <c r="E40" i="29"/>
  <c r="E86" i="2"/>
  <c r="E28" i="3"/>
  <c r="E56" i="1" s="1"/>
  <c r="E79" i="2"/>
  <c r="B36" i="1"/>
  <c r="B17" i="1"/>
  <c r="D53" i="1"/>
  <c r="D55" i="1"/>
  <c r="D52" i="1"/>
  <c r="M36" i="2"/>
  <c r="B35" i="1"/>
  <c r="B16" i="1"/>
  <c r="F77" i="2"/>
  <c r="G6" i="2"/>
  <c r="F78" i="2"/>
  <c r="F5" i="2"/>
  <c r="G6" i="20"/>
  <c r="F5" i="20"/>
  <c r="G5" i="15"/>
  <c r="H6" i="15"/>
  <c r="G6" i="1"/>
  <c r="F5" i="1"/>
  <c r="B34" i="1"/>
  <c r="B15" i="1"/>
  <c r="F96" i="5"/>
  <c r="F90" i="5"/>
  <c r="F84" i="5"/>
  <c r="F99" i="5"/>
  <c r="F93" i="5"/>
  <c r="F87" i="5"/>
  <c r="F81" i="5"/>
  <c r="F58" i="5"/>
  <c r="F59" i="5" s="1"/>
  <c r="F41" i="5" s="1"/>
  <c r="F53" i="1" s="1"/>
  <c r="F5" i="5"/>
  <c r="F74" i="5"/>
  <c r="F75" i="5" s="1"/>
  <c r="F66" i="5"/>
  <c r="F67" i="5" s="1"/>
  <c r="F43" i="5" s="1"/>
  <c r="F55" i="1" s="1"/>
  <c r="F70" i="5"/>
  <c r="F71" i="5" s="1"/>
  <c r="F54" i="5"/>
  <c r="F55" i="5" s="1"/>
  <c r="F40" i="5" s="1"/>
  <c r="F52" i="1" s="1"/>
  <c r="G6" i="5"/>
  <c r="F62" i="5"/>
  <c r="F63" i="5" s="1"/>
  <c r="F42" i="5" s="1"/>
  <c r="F54" i="1" s="1"/>
  <c r="F50" i="5"/>
  <c r="F51" i="5" s="1"/>
  <c r="D119" i="2"/>
  <c r="D131" i="2"/>
  <c r="D100" i="2"/>
  <c r="D130" i="2"/>
  <c r="D132" i="2"/>
  <c r="D103" i="2"/>
  <c r="D91" i="2"/>
  <c r="D118" i="2"/>
  <c r="D104" i="2"/>
  <c r="D128" i="2"/>
  <c r="D133" i="2"/>
  <c r="D102" i="2"/>
  <c r="D101" i="2"/>
  <c r="D105" i="2"/>
  <c r="D129" i="2"/>
  <c r="D23" i="29"/>
  <c r="D71" i="2"/>
  <c r="M69" i="2"/>
  <c r="F5" i="11"/>
  <c r="G6" i="11"/>
  <c r="G6" i="3"/>
  <c r="F5" i="3"/>
  <c r="G6" i="27"/>
  <c r="F5" i="27"/>
  <c r="G6" i="10"/>
  <c r="G5" i="10" s="1"/>
  <c r="F40" i="10"/>
  <c r="F43" i="10" s="1"/>
  <c r="E46" i="5"/>
  <c r="E51" i="1"/>
  <c r="G6" i="29"/>
  <c r="G5" i="29" s="1"/>
  <c r="F22" i="29"/>
  <c r="M64" i="2"/>
  <c r="E36" i="28"/>
  <c r="E35" i="28"/>
  <c r="F34" i="10" s="1"/>
  <c r="E34" i="28"/>
  <c r="E32" i="28"/>
  <c r="F33" i="28"/>
  <c r="B32" i="1"/>
  <c r="B13" i="1"/>
  <c r="D54" i="1"/>
  <c r="N49" i="1"/>
  <c r="G5" i="17"/>
  <c r="H6" i="17"/>
  <c r="H5" i="17" s="1"/>
  <c r="H82" i="5" l="1"/>
  <c r="H91" i="5"/>
  <c r="I88" i="5"/>
  <c r="M71" i="2"/>
  <c r="E23" i="29"/>
  <c r="F14" i="19"/>
  <c r="F35" i="10"/>
  <c r="F8" i="20"/>
  <c r="F57" i="1" s="1"/>
  <c r="F86" i="2"/>
  <c r="F28" i="3"/>
  <c r="F56" i="1" s="1"/>
  <c r="F40" i="29"/>
  <c r="H6" i="3"/>
  <c r="G5" i="3"/>
  <c r="D120" i="2"/>
  <c r="I6" i="15"/>
  <c r="H5" i="15"/>
  <c r="H6" i="19"/>
  <c r="G5" i="19"/>
  <c r="D92" i="2"/>
  <c r="D106" i="2"/>
  <c r="G99" i="5"/>
  <c r="G93" i="5"/>
  <c r="G87" i="5"/>
  <c r="G81" i="5"/>
  <c r="G74" i="5"/>
  <c r="G75" i="5" s="1"/>
  <c r="G45" i="5" s="1"/>
  <c r="G62" i="5"/>
  <c r="G63" i="5" s="1"/>
  <c r="G42" i="5" s="1"/>
  <c r="G54" i="1" s="1"/>
  <c r="G84" i="5"/>
  <c r="G90" i="5"/>
  <c r="G70" i="5"/>
  <c r="G71" i="5" s="1"/>
  <c r="G44" i="5" s="1"/>
  <c r="G96" i="5"/>
  <c r="G58" i="5"/>
  <c r="G59" i="5" s="1"/>
  <c r="G41" i="5" s="1"/>
  <c r="G53" i="1" s="1"/>
  <c r="G66" i="5"/>
  <c r="G67" i="5" s="1"/>
  <c r="G43" i="5" s="1"/>
  <c r="G55" i="1" s="1"/>
  <c r="H6" i="5"/>
  <c r="G50" i="5"/>
  <c r="G51" i="5" s="1"/>
  <c r="G39" i="5" s="1"/>
  <c r="G54" i="5"/>
  <c r="G55" i="5" s="1"/>
  <c r="G5" i="5"/>
  <c r="F45" i="5"/>
  <c r="G50" i="15"/>
  <c r="F79" i="2"/>
  <c r="F50" i="1" s="1"/>
  <c r="H6" i="4"/>
  <c r="G5" i="4"/>
  <c r="G33" i="28"/>
  <c r="F36" i="28"/>
  <c r="F35" i="28"/>
  <c r="G34" i="10" s="1"/>
  <c r="F34" i="28"/>
  <c r="F32" i="28"/>
  <c r="G22" i="29"/>
  <c r="H6" i="29"/>
  <c r="H5" i="29" s="1"/>
  <c r="H6" i="27"/>
  <c r="G5" i="27"/>
  <c r="H6" i="11"/>
  <c r="G5" i="11"/>
  <c r="D134" i="2"/>
  <c r="H6" i="20"/>
  <c r="G5" i="20"/>
  <c r="G77" i="2"/>
  <c r="G78" i="2"/>
  <c r="H6" i="2"/>
  <c r="G5" i="2"/>
  <c r="E102" i="2"/>
  <c r="E119" i="2"/>
  <c r="E105" i="2"/>
  <c r="E90" i="2"/>
  <c r="E101" i="2"/>
  <c r="E128" i="2"/>
  <c r="E131" i="2"/>
  <c r="E100" i="2"/>
  <c r="E130" i="2"/>
  <c r="E132" i="2"/>
  <c r="E103" i="2"/>
  <c r="E91" i="2"/>
  <c r="E118" i="2"/>
  <c r="E104" i="2"/>
  <c r="E133" i="2"/>
  <c r="E129" i="2"/>
  <c r="H6" i="10"/>
  <c r="H5" i="10" s="1"/>
  <c r="H32" i="10" s="1"/>
  <c r="G40" i="10"/>
  <c r="G43" i="10" s="1"/>
  <c r="D81" i="15"/>
  <c r="D82" i="15"/>
  <c r="F39" i="5"/>
  <c r="F44" i="5"/>
  <c r="H6" i="1"/>
  <c r="G5" i="1"/>
  <c r="E50" i="1"/>
  <c r="I6" i="17"/>
  <c r="J88" i="5" l="1"/>
  <c r="I82" i="5"/>
  <c r="I91" i="5"/>
  <c r="E92" i="2"/>
  <c r="E96" i="2" s="1"/>
  <c r="E120" i="2"/>
  <c r="E125" i="2" s="1"/>
  <c r="G79" i="2"/>
  <c r="G50" i="1" s="1"/>
  <c r="F46" i="5"/>
  <c r="F51" i="1"/>
  <c r="H5" i="1"/>
  <c r="I6" i="1"/>
  <c r="I6" i="10"/>
  <c r="I5" i="10" s="1"/>
  <c r="H40" i="10"/>
  <c r="H43" i="10" s="1"/>
  <c r="E106" i="2"/>
  <c r="E81" i="15"/>
  <c r="E82" i="15"/>
  <c r="G14" i="19"/>
  <c r="G28" i="3"/>
  <c r="G56" i="1" s="1"/>
  <c r="G86" i="2"/>
  <c r="G35" i="10"/>
  <c r="G8" i="20"/>
  <c r="G57" i="1" s="1"/>
  <c r="G40" i="29"/>
  <c r="H5" i="4"/>
  <c r="I6" i="4"/>
  <c r="D109" i="2"/>
  <c r="D108" i="2"/>
  <c r="J6" i="15"/>
  <c r="I5" i="15"/>
  <c r="I6" i="27"/>
  <c r="H5" i="27"/>
  <c r="G40" i="5"/>
  <c r="G46" i="5" s="1"/>
  <c r="D97" i="2"/>
  <c r="D96" i="2"/>
  <c r="H5" i="3"/>
  <c r="I6" i="3"/>
  <c r="H5" i="19"/>
  <c r="I6" i="19"/>
  <c r="F103" i="2"/>
  <c r="F128" i="2"/>
  <c r="F133" i="2"/>
  <c r="F102" i="2"/>
  <c r="F129" i="2"/>
  <c r="F119" i="2"/>
  <c r="F101" i="2"/>
  <c r="F118" i="2"/>
  <c r="F105" i="2"/>
  <c r="F90" i="2"/>
  <c r="F100" i="2"/>
  <c r="F130" i="2"/>
  <c r="F132" i="2"/>
  <c r="F131" i="2"/>
  <c r="F91" i="2"/>
  <c r="F104" i="2"/>
  <c r="E134" i="2"/>
  <c r="D136" i="2"/>
  <c r="D137" i="2"/>
  <c r="I6" i="11"/>
  <c r="H5" i="11"/>
  <c r="I6" i="29"/>
  <c r="I5" i="29" s="1"/>
  <c r="G51" i="1"/>
  <c r="F23" i="29"/>
  <c r="H78" i="2"/>
  <c r="I6" i="2"/>
  <c r="H77" i="2"/>
  <c r="H5" i="2"/>
  <c r="H5" i="20"/>
  <c r="I6" i="20"/>
  <c r="H33" i="28"/>
  <c r="G32" i="28"/>
  <c r="G35" i="28"/>
  <c r="H34" i="10" s="1"/>
  <c r="G34" i="28"/>
  <c r="G36" i="28"/>
  <c r="H99" i="5"/>
  <c r="H93" i="5"/>
  <c r="H87" i="5"/>
  <c r="H81" i="5"/>
  <c r="H96" i="5"/>
  <c r="H90" i="5"/>
  <c r="H84" i="5"/>
  <c r="H66" i="5"/>
  <c r="H67" i="5" s="1"/>
  <c r="H43" i="5" s="1"/>
  <c r="H55" i="1" s="1"/>
  <c r="H50" i="5"/>
  <c r="H51" i="5" s="1"/>
  <c r="H39" i="5" s="1"/>
  <c r="H70" i="5"/>
  <c r="H71" i="5" s="1"/>
  <c r="H58" i="5"/>
  <c r="H59" i="5" s="1"/>
  <c r="H74" i="5"/>
  <c r="H75" i="5" s="1"/>
  <c r="H62" i="5"/>
  <c r="H63" i="5" s="1"/>
  <c r="H42" i="5" s="1"/>
  <c r="H54" i="5"/>
  <c r="H5" i="5"/>
  <c r="I6" i="5"/>
  <c r="D125" i="2"/>
  <c r="D124" i="2"/>
  <c r="J6" i="17"/>
  <c r="I5" i="17"/>
  <c r="H102" i="5" l="1"/>
  <c r="I94" i="5"/>
  <c r="H78" i="15"/>
  <c r="J91" i="5"/>
  <c r="J82" i="5"/>
  <c r="K88" i="5"/>
  <c r="E97" i="2"/>
  <c r="E124" i="2"/>
  <c r="G23" i="29"/>
  <c r="D140" i="2"/>
  <c r="D141" i="2"/>
  <c r="F92" i="2"/>
  <c r="F97" i="2" s="1"/>
  <c r="D112" i="2"/>
  <c r="F106" i="2"/>
  <c r="F109" i="2" s="1"/>
  <c r="D113" i="2"/>
  <c r="I33" i="28"/>
  <c r="H32" i="28"/>
  <c r="H35" i="28"/>
  <c r="I34" i="10" s="1"/>
  <c r="H36" i="28"/>
  <c r="H34" i="28"/>
  <c r="H79" i="2"/>
  <c r="F81" i="15"/>
  <c r="F82" i="15"/>
  <c r="F120" i="2"/>
  <c r="F134" i="2"/>
  <c r="J6" i="19"/>
  <c r="I5" i="19"/>
  <c r="G52" i="1"/>
  <c r="G133" i="2"/>
  <c r="G102" i="2"/>
  <c r="G129" i="2"/>
  <c r="G91" i="2"/>
  <c r="G90" i="2"/>
  <c r="G100" i="2"/>
  <c r="G104" i="2"/>
  <c r="G105" i="2"/>
  <c r="G101" i="2"/>
  <c r="G128" i="2"/>
  <c r="G130" i="2"/>
  <c r="G132" i="2"/>
  <c r="G131" i="2"/>
  <c r="G119" i="2"/>
  <c r="G118" i="2"/>
  <c r="G103" i="2"/>
  <c r="E109" i="2"/>
  <c r="E108" i="2"/>
  <c r="E112" i="2" s="1"/>
  <c r="H44" i="5"/>
  <c r="H54" i="1"/>
  <c r="H51" i="1"/>
  <c r="H8" i="20"/>
  <c r="H57" i="1" s="1"/>
  <c r="H14" i="19"/>
  <c r="H35" i="10"/>
  <c r="H40" i="29"/>
  <c r="H23" i="29" s="1"/>
  <c r="H86" i="2"/>
  <c r="J6" i="20"/>
  <c r="I5" i="20"/>
  <c r="I32" i="10"/>
  <c r="J6" i="10"/>
  <c r="J5" i="10" s="1"/>
  <c r="I40" i="10"/>
  <c r="I43" i="10" s="1"/>
  <c r="J6" i="1"/>
  <c r="I5" i="1"/>
  <c r="I96" i="5"/>
  <c r="I90" i="5"/>
  <c r="I84" i="5"/>
  <c r="I81" i="5"/>
  <c r="I70" i="5"/>
  <c r="I71" i="5" s="1"/>
  <c r="I44" i="5" s="1"/>
  <c r="I54" i="5"/>
  <c r="J6" i="5"/>
  <c r="L16" i="5" s="1"/>
  <c r="I87" i="5"/>
  <c r="I93" i="5"/>
  <c r="I74" i="5"/>
  <c r="I75" i="5" s="1"/>
  <c r="I45" i="5" s="1"/>
  <c r="I62" i="5"/>
  <c r="I63" i="5" s="1"/>
  <c r="I42" i="5" s="1"/>
  <c r="I54" i="1" s="1"/>
  <c r="I99" i="5"/>
  <c r="I66" i="5"/>
  <c r="I67" i="5" s="1"/>
  <c r="I43" i="5" s="1"/>
  <c r="I55" i="1" s="1"/>
  <c r="I50" i="5"/>
  <c r="I51" i="5" s="1"/>
  <c r="I39" i="5" s="1"/>
  <c r="I58" i="5"/>
  <c r="I59" i="5" s="1"/>
  <c r="I41" i="5" s="1"/>
  <c r="I53" i="1" s="1"/>
  <c r="I5" i="5"/>
  <c r="H45" i="5"/>
  <c r="J6" i="11"/>
  <c r="I5" i="11"/>
  <c r="I5" i="27"/>
  <c r="J6" i="27"/>
  <c r="I50" i="15"/>
  <c r="H41" i="5"/>
  <c r="I78" i="2"/>
  <c r="I77" i="2"/>
  <c r="I5" i="2"/>
  <c r="J6" i="2"/>
  <c r="L24" i="2" s="1"/>
  <c r="J6" i="29"/>
  <c r="J5" i="29" s="1"/>
  <c r="E137" i="2"/>
  <c r="E141" i="2" s="1"/>
  <c r="E136" i="2"/>
  <c r="E140" i="2" s="1"/>
  <c r="J6" i="3"/>
  <c r="I5" i="3"/>
  <c r="K6" i="15"/>
  <c r="K5" i="15" s="1"/>
  <c r="J5" i="15"/>
  <c r="J6" i="4"/>
  <c r="I5" i="4"/>
  <c r="K6" i="17"/>
  <c r="J5" i="17"/>
  <c r="H28" i="3" l="1"/>
  <c r="H56" i="1" s="1"/>
  <c r="H15" i="4"/>
  <c r="H22" i="29"/>
  <c r="H35" i="29" s="1"/>
  <c r="I11" i="3"/>
  <c r="I12" i="3" s="1"/>
  <c r="I17" i="4" s="1"/>
  <c r="K91" i="5"/>
  <c r="I85" i="5"/>
  <c r="I102" i="5" s="1"/>
  <c r="J94" i="5"/>
  <c r="K82" i="5"/>
  <c r="D147" i="2"/>
  <c r="J11" i="3"/>
  <c r="J12" i="3" s="1"/>
  <c r="J17" i="4" s="1"/>
  <c r="K11" i="3"/>
  <c r="K12" i="3" s="1"/>
  <c r="K17" i="4" s="1"/>
  <c r="E113" i="2"/>
  <c r="E148" i="2" s="1"/>
  <c r="D142" i="2"/>
  <c r="F96" i="2"/>
  <c r="D148" i="2"/>
  <c r="L56" i="2"/>
  <c r="L59" i="2"/>
  <c r="L30" i="2"/>
  <c r="L70" i="2"/>
  <c r="L55" i="2"/>
  <c r="L65" i="5"/>
  <c r="E142" i="2"/>
  <c r="G92" i="2"/>
  <c r="G97" i="2" s="1"/>
  <c r="F113" i="2"/>
  <c r="L52" i="2"/>
  <c r="L40" i="2"/>
  <c r="L28" i="2"/>
  <c r="L13" i="5"/>
  <c r="F108" i="2"/>
  <c r="L17" i="5"/>
  <c r="L15" i="5"/>
  <c r="D114" i="2"/>
  <c r="L62" i="2"/>
  <c r="L36" i="2"/>
  <c r="L54" i="2"/>
  <c r="L61" i="5"/>
  <c r="L69" i="5"/>
  <c r="L11" i="5"/>
  <c r="J50" i="15"/>
  <c r="K6" i="3"/>
  <c r="K5" i="3" s="1"/>
  <c r="J5" i="3"/>
  <c r="H53" i="1"/>
  <c r="I51" i="1"/>
  <c r="L64" i="2"/>
  <c r="G81" i="15"/>
  <c r="G82" i="15"/>
  <c r="K6" i="19"/>
  <c r="K5" i="19" s="1"/>
  <c r="J5" i="19"/>
  <c r="H50" i="1"/>
  <c r="L35" i="2"/>
  <c r="I14" i="19"/>
  <c r="I40" i="29"/>
  <c r="I86" i="2"/>
  <c r="I35" i="10"/>
  <c r="I8" i="20"/>
  <c r="I57" i="1" s="1"/>
  <c r="I32" i="28"/>
  <c r="J33" i="28"/>
  <c r="I35" i="28"/>
  <c r="J34" i="10" s="1"/>
  <c r="I36" i="28"/>
  <c r="I34" i="28"/>
  <c r="J40" i="10"/>
  <c r="J43" i="10" s="1"/>
  <c r="K6" i="10"/>
  <c r="K5" i="10" s="1"/>
  <c r="J32" i="10"/>
  <c r="L71" i="2"/>
  <c r="K6" i="20"/>
  <c r="K5" i="20" s="1"/>
  <c r="J5" i="20"/>
  <c r="F136" i="2"/>
  <c r="F137" i="2"/>
  <c r="L50" i="2"/>
  <c r="L23" i="2"/>
  <c r="K6" i="29"/>
  <c r="K5" i="29" s="1"/>
  <c r="I79" i="2"/>
  <c r="H101" i="2"/>
  <c r="H130" i="2"/>
  <c r="H132" i="2"/>
  <c r="H131" i="2"/>
  <c r="H100" i="2"/>
  <c r="H118" i="2"/>
  <c r="H104" i="2"/>
  <c r="H103" i="2"/>
  <c r="H91" i="2"/>
  <c r="H102" i="2"/>
  <c r="H129" i="2"/>
  <c r="H128" i="2"/>
  <c r="H105" i="2"/>
  <c r="H90" i="2"/>
  <c r="H119" i="2"/>
  <c r="H133" i="2"/>
  <c r="F125" i="2"/>
  <c r="F124" i="2"/>
  <c r="K82" i="15"/>
  <c r="K50" i="15"/>
  <c r="K5" i="17"/>
  <c r="K6" i="4"/>
  <c r="K5" i="4" s="1"/>
  <c r="J5" i="4"/>
  <c r="J77" i="2"/>
  <c r="J78" i="2"/>
  <c r="K6" i="2"/>
  <c r="J5" i="2"/>
  <c r="L31" i="2"/>
  <c r="L18" i="2"/>
  <c r="L19" i="2"/>
  <c r="L47" i="2"/>
  <c r="L13" i="2"/>
  <c r="L12" i="2"/>
  <c r="L51" i="2"/>
  <c r="L34" i="2"/>
  <c r="L63" i="2"/>
  <c r="L22" i="2"/>
  <c r="L58" i="2"/>
  <c r="L27" i="2"/>
  <c r="K6" i="27"/>
  <c r="J5" i="27"/>
  <c r="J5" i="11"/>
  <c r="K6" i="11"/>
  <c r="K5" i="11" s="1"/>
  <c r="J96" i="5"/>
  <c r="J90" i="5"/>
  <c r="J84" i="5"/>
  <c r="J99" i="5"/>
  <c r="J93" i="5"/>
  <c r="J87" i="5"/>
  <c r="J81" i="5"/>
  <c r="J58" i="5"/>
  <c r="J59" i="5" s="1"/>
  <c r="J5" i="5"/>
  <c r="J74" i="5"/>
  <c r="J75" i="5" s="1"/>
  <c r="J66" i="5"/>
  <c r="J67" i="5" s="1"/>
  <c r="J43" i="5" s="1"/>
  <c r="J70" i="5"/>
  <c r="J71" i="5" s="1"/>
  <c r="J54" i="5"/>
  <c r="J50" i="5"/>
  <c r="J51" i="5" s="1"/>
  <c r="J39" i="5" s="1"/>
  <c r="J62" i="5"/>
  <c r="J63" i="5" s="1"/>
  <c r="J42" i="5" s="1"/>
  <c r="K6" i="5"/>
  <c r="L39" i="5"/>
  <c r="L73" i="5"/>
  <c r="L14" i="5"/>
  <c r="L57" i="5"/>
  <c r="K6" i="1"/>
  <c r="J5" i="1"/>
  <c r="E147" i="2"/>
  <c r="L41" i="2"/>
  <c r="L46" i="2"/>
  <c r="G120" i="2"/>
  <c r="G134" i="2"/>
  <c r="G106" i="2"/>
  <c r="L26" i="2"/>
  <c r="L53" i="2"/>
  <c r="H26" i="4" l="1"/>
  <c r="I28" i="3"/>
  <c r="I56" i="1" s="1"/>
  <c r="I15" i="4"/>
  <c r="I26" i="4" s="1"/>
  <c r="I22" i="29"/>
  <c r="D149" i="2"/>
  <c r="K94" i="5"/>
  <c r="F112" i="2"/>
  <c r="F114" i="2" s="1"/>
  <c r="E114" i="2"/>
  <c r="L51" i="5"/>
  <c r="L63" i="5"/>
  <c r="G96" i="2"/>
  <c r="L42" i="2"/>
  <c r="J79" i="2"/>
  <c r="J50" i="1" s="1"/>
  <c r="L67" i="5"/>
  <c r="K99" i="5"/>
  <c r="K93" i="5"/>
  <c r="K87" i="5"/>
  <c r="K81" i="5"/>
  <c r="K84" i="5"/>
  <c r="K74" i="5"/>
  <c r="K75" i="5" s="1"/>
  <c r="K45" i="5" s="1"/>
  <c r="K62" i="5"/>
  <c r="K63" i="5" s="1"/>
  <c r="K90" i="5"/>
  <c r="K96" i="5"/>
  <c r="K70" i="5"/>
  <c r="K71" i="5" s="1"/>
  <c r="K54" i="5"/>
  <c r="K58" i="5"/>
  <c r="K59" i="5" s="1"/>
  <c r="K41" i="5" s="1"/>
  <c r="K53" i="1" s="1"/>
  <c r="K5" i="5"/>
  <c r="K66" i="5"/>
  <c r="K67" i="5" s="1"/>
  <c r="K50" i="5"/>
  <c r="K51" i="5" s="1"/>
  <c r="L49" i="5"/>
  <c r="L75" i="5"/>
  <c r="J44" i="5"/>
  <c r="L44" i="5" s="1"/>
  <c r="L71" i="5"/>
  <c r="J41" i="5"/>
  <c r="L59" i="5"/>
  <c r="F140" i="2"/>
  <c r="H120" i="2"/>
  <c r="K32" i="10"/>
  <c r="K43" i="10"/>
  <c r="J35" i="10"/>
  <c r="J8" i="20"/>
  <c r="J57" i="1" s="1"/>
  <c r="J40" i="29"/>
  <c r="J14" i="19"/>
  <c r="J86" i="2"/>
  <c r="I101" i="2"/>
  <c r="I119" i="2"/>
  <c r="I105" i="2"/>
  <c r="I132" i="2"/>
  <c r="I131" i="2"/>
  <c r="I100" i="2"/>
  <c r="I130" i="2"/>
  <c r="I128" i="2"/>
  <c r="I118" i="2"/>
  <c r="I102" i="2"/>
  <c r="I104" i="2"/>
  <c r="I103" i="2"/>
  <c r="I91" i="2"/>
  <c r="I90" i="2"/>
  <c r="I133" i="2"/>
  <c r="I129" i="2"/>
  <c r="G137" i="2"/>
  <c r="G136" i="2"/>
  <c r="G124" i="2"/>
  <c r="G125" i="2"/>
  <c r="J54" i="1"/>
  <c r="L42" i="5"/>
  <c r="J55" i="1"/>
  <c r="L43" i="5"/>
  <c r="K77" i="2"/>
  <c r="K78" i="2"/>
  <c r="K5" i="2"/>
  <c r="L77" i="2"/>
  <c r="L25" i="2"/>
  <c r="L69" i="2"/>
  <c r="H81" i="15"/>
  <c r="F141" i="2"/>
  <c r="I23" i="29"/>
  <c r="E149" i="2"/>
  <c r="J51" i="1"/>
  <c r="J45" i="5"/>
  <c r="L45" i="5" s="1"/>
  <c r="K5" i="27"/>
  <c r="H92" i="2"/>
  <c r="H106" i="2"/>
  <c r="I50" i="1"/>
  <c r="G109" i="2"/>
  <c r="G108" i="2"/>
  <c r="K5" i="1"/>
  <c r="M49" i="1"/>
  <c r="L14" i="2"/>
  <c r="H134" i="2"/>
  <c r="J32" i="28"/>
  <c r="J35" i="28"/>
  <c r="K34" i="10" s="1"/>
  <c r="J36" i="28"/>
  <c r="J34" i="28"/>
  <c r="H28" i="4" l="1"/>
  <c r="I35" i="29"/>
  <c r="J28" i="3"/>
  <c r="J56" i="1" s="1"/>
  <c r="G141" i="2"/>
  <c r="L79" i="2"/>
  <c r="K79" i="2"/>
  <c r="K50" i="1" s="1"/>
  <c r="N50" i="1" s="1"/>
  <c r="J23" i="29"/>
  <c r="M75" i="5"/>
  <c r="G140" i="2"/>
  <c r="M59" i="5"/>
  <c r="I120" i="2"/>
  <c r="I125" i="2" s="1"/>
  <c r="H96" i="2"/>
  <c r="H97" i="2"/>
  <c r="M56" i="1"/>
  <c r="M57" i="1"/>
  <c r="F142" i="2"/>
  <c r="F147" i="2"/>
  <c r="K35" i="10"/>
  <c r="K8" i="20"/>
  <c r="K57" i="1" s="1"/>
  <c r="K14" i="19"/>
  <c r="K28" i="3"/>
  <c r="K56" i="1" s="1"/>
  <c r="K40" i="29"/>
  <c r="K86" i="2"/>
  <c r="G112" i="2"/>
  <c r="M50" i="1"/>
  <c r="H109" i="2"/>
  <c r="H108" i="2"/>
  <c r="F148" i="2"/>
  <c r="M55" i="1"/>
  <c r="I81" i="15"/>
  <c r="I82" i="15"/>
  <c r="I106" i="2"/>
  <c r="K39" i="5"/>
  <c r="M51" i="5"/>
  <c r="K42" i="5"/>
  <c r="M63" i="5"/>
  <c r="H136" i="2"/>
  <c r="H137" i="2"/>
  <c r="G113" i="2"/>
  <c r="G148" i="2" s="1"/>
  <c r="I92" i="2"/>
  <c r="H125" i="2"/>
  <c r="H124" i="2"/>
  <c r="K43" i="5"/>
  <c r="M67" i="5"/>
  <c r="K44" i="5"/>
  <c r="M44" i="5" s="1"/>
  <c r="M71" i="5"/>
  <c r="M45" i="5"/>
  <c r="M51" i="1"/>
  <c r="M77" i="2"/>
  <c r="M54" i="1"/>
  <c r="I134" i="2"/>
  <c r="J101" i="2"/>
  <c r="L101" i="2" s="1"/>
  <c r="J119" i="2"/>
  <c r="L119" i="2" s="1"/>
  <c r="J105" i="2"/>
  <c r="L105" i="2" s="1"/>
  <c r="J90" i="2"/>
  <c r="J131" i="2"/>
  <c r="L131" i="2" s="1"/>
  <c r="J130" i="2"/>
  <c r="L130" i="2" s="1"/>
  <c r="J104" i="2"/>
  <c r="L104" i="2" s="1"/>
  <c r="J103" i="2"/>
  <c r="L103" i="2" s="1"/>
  <c r="J91" i="2"/>
  <c r="J118" i="2"/>
  <c r="L118" i="2" s="1"/>
  <c r="J129" i="2"/>
  <c r="L129" i="2" s="1"/>
  <c r="J128" i="2"/>
  <c r="J133" i="2"/>
  <c r="L133" i="2" s="1"/>
  <c r="J102" i="2"/>
  <c r="L102" i="2" s="1"/>
  <c r="J132" i="2"/>
  <c r="L132" i="2" s="1"/>
  <c r="J100" i="2"/>
  <c r="J53" i="1"/>
  <c r="M41" i="5"/>
  <c r="L41" i="5"/>
  <c r="N56" i="1" l="1"/>
  <c r="G142" i="2"/>
  <c r="H112" i="2"/>
  <c r="M79" i="2"/>
  <c r="I124" i="2"/>
  <c r="H113" i="2"/>
  <c r="L120" i="2"/>
  <c r="J106" i="2"/>
  <c r="L100" i="2"/>
  <c r="I109" i="2"/>
  <c r="I108" i="2"/>
  <c r="K23" i="29"/>
  <c r="H141" i="2"/>
  <c r="K54" i="1"/>
  <c r="M42" i="5"/>
  <c r="K51" i="1"/>
  <c r="M39" i="5"/>
  <c r="G114" i="2"/>
  <c r="G147" i="2"/>
  <c r="J134" i="2"/>
  <c r="L128" i="2"/>
  <c r="I136" i="2"/>
  <c r="I137" i="2"/>
  <c r="I141" i="2" s="1"/>
  <c r="L134" i="2"/>
  <c r="H140" i="2"/>
  <c r="J81" i="15"/>
  <c r="J82" i="15"/>
  <c r="L90" i="2"/>
  <c r="M53" i="1"/>
  <c r="N53" i="1"/>
  <c r="J120" i="2"/>
  <c r="J92" i="2"/>
  <c r="L91" i="2"/>
  <c r="K55" i="1"/>
  <c r="M43" i="5"/>
  <c r="I97" i="2"/>
  <c r="I96" i="2"/>
  <c r="K131" i="2"/>
  <c r="M131" i="2" s="1"/>
  <c r="K100" i="2"/>
  <c r="K130" i="2"/>
  <c r="M130" i="2" s="1"/>
  <c r="K104" i="2"/>
  <c r="M104" i="2" s="1"/>
  <c r="K105" i="2"/>
  <c r="M105" i="2" s="1"/>
  <c r="K103" i="2"/>
  <c r="M103" i="2" s="1"/>
  <c r="K91" i="2"/>
  <c r="M91" i="2" s="1"/>
  <c r="K118" i="2"/>
  <c r="M118" i="2" s="1"/>
  <c r="K132" i="2"/>
  <c r="M132" i="2" s="1"/>
  <c r="K101" i="2"/>
  <c r="M101" i="2" s="1"/>
  <c r="K119" i="2"/>
  <c r="K90" i="2"/>
  <c r="K129" i="2"/>
  <c r="M129" i="2" s="1"/>
  <c r="K128" i="2"/>
  <c r="K133" i="2"/>
  <c r="M133" i="2" s="1"/>
  <c r="K102" i="2"/>
  <c r="M102" i="2" s="1"/>
  <c r="N57" i="1"/>
  <c r="F149" i="2"/>
  <c r="I140" i="2" l="1"/>
  <c r="I142" i="2" s="1"/>
  <c r="K81" i="15"/>
  <c r="H148" i="2"/>
  <c r="H114" i="2"/>
  <c r="I113" i="2"/>
  <c r="I148" i="2" s="1"/>
  <c r="L92" i="2"/>
  <c r="N54" i="1"/>
  <c r="J108" i="2"/>
  <c r="J109" i="2"/>
  <c r="L109" i="2" s="1"/>
  <c r="L106" i="2"/>
  <c r="J136" i="2"/>
  <c r="L136" i="2" s="1"/>
  <c r="J137" i="2"/>
  <c r="L137" i="2" s="1"/>
  <c r="M128" i="2"/>
  <c r="K134" i="2"/>
  <c r="I112" i="2"/>
  <c r="J124" i="2"/>
  <c r="J125" i="2"/>
  <c r="H142" i="2"/>
  <c r="N51" i="1"/>
  <c r="M90" i="2"/>
  <c r="M92" i="2" s="1"/>
  <c r="K120" i="2"/>
  <c r="K92" i="2"/>
  <c r="K106" i="2"/>
  <c r="N55" i="1"/>
  <c r="J96" i="2"/>
  <c r="L96" i="2" s="1"/>
  <c r="J97" i="2"/>
  <c r="H147" i="2"/>
  <c r="M100" i="2"/>
  <c r="M119" i="2"/>
  <c r="M120" i="2" s="1"/>
  <c r="G149" i="2"/>
  <c r="J113" i="2" l="1"/>
  <c r="L97" i="2"/>
  <c r="K96" i="2"/>
  <c r="K97" i="2"/>
  <c r="M97" i="2" s="1"/>
  <c r="J141" i="2"/>
  <c r="L141" i="2" s="1"/>
  <c r="L125" i="2"/>
  <c r="H149" i="2"/>
  <c r="K124" i="2"/>
  <c r="M124" i="2" s="1"/>
  <c r="K125" i="2"/>
  <c r="J140" i="2"/>
  <c r="L124" i="2"/>
  <c r="K136" i="2"/>
  <c r="M136" i="2" s="1"/>
  <c r="K137" i="2"/>
  <c r="M137" i="2" s="1"/>
  <c r="M134" i="2"/>
  <c r="I147" i="2"/>
  <c r="I149" i="2" s="1"/>
  <c r="I114" i="2"/>
  <c r="K108" i="2"/>
  <c r="M108" i="2" s="1"/>
  <c r="K109" i="2"/>
  <c r="M109" i="2" s="1"/>
  <c r="M106" i="2"/>
  <c r="J112" i="2"/>
  <c r="L112" i="2" s="1"/>
  <c r="L108" i="2"/>
  <c r="K141" i="2" l="1"/>
  <c r="M141" i="2" s="1"/>
  <c r="K140" i="2"/>
  <c r="K113" i="2"/>
  <c r="J148" i="2"/>
  <c r="L148" i="2" s="1"/>
  <c r="L113" i="2"/>
  <c r="J142" i="2"/>
  <c r="L142" i="2" s="1"/>
  <c r="L140" i="2"/>
  <c r="M125" i="2"/>
  <c r="K112" i="2"/>
  <c r="M112" i="2" s="1"/>
  <c r="M96" i="2"/>
  <c r="J147" i="2"/>
  <c r="J114" i="2"/>
  <c r="L114" i="2" s="1"/>
  <c r="K148" i="2" l="1"/>
  <c r="M148" i="2" s="1"/>
  <c r="K142" i="2"/>
  <c r="M140" i="2"/>
  <c r="M113" i="2"/>
  <c r="K147" i="2"/>
  <c r="K114" i="2"/>
  <c r="M114" i="2" s="1"/>
  <c r="M142" i="2"/>
  <c r="J149" i="2"/>
  <c r="L149" i="2" s="1"/>
  <c r="L147" i="2"/>
  <c r="K149" i="2" l="1"/>
  <c r="M149" i="2" s="1"/>
  <c r="M147" i="2"/>
  <c r="J85" i="5" l="1"/>
  <c r="J102" i="5" s="1"/>
  <c r="H18" i="5"/>
  <c r="H53" i="5"/>
  <c r="L12" i="5"/>
  <c r="L18" i="5" s="1"/>
  <c r="J18" i="5" l="1"/>
  <c r="J53" i="5"/>
  <c r="J55" i="5" s="1"/>
  <c r="H55" i="5"/>
  <c r="L53" i="5"/>
  <c r="J15" i="4"/>
  <c r="J22" i="29"/>
  <c r="J35" i="29" s="1"/>
  <c r="K85" i="5"/>
  <c r="K102" i="5" s="1"/>
  <c r="I18" i="5"/>
  <c r="I53" i="5"/>
  <c r="I55" i="5" s="1"/>
  <c r="I40" i="5" s="1"/>
  <c r="J26" i="4" l="1"/>
  <c r="H40" i="5"/>
  <c r="I52" i="1"/>
  <c r="I46" i="5"/>
  <c r="K53" i="5"/>
  <c r="K55" i="5" s="1"/>
  <c r="K40" i="5" s="1"/>
  <c r="K18" i="5"/>
  <c r="M12" i="5"/>
  <c r="M18" i="5" s="1"/>
  <c r="K15" i="4"/>
  <c r="K22" i="29"/>
  <c r="K35" i="29" s="1"/>
  <c r="L55" i="5"/>
  <c r="J40" i="5"/>
  <c r="K26" i="4" l="1"/>
  <c r="J52" i="1"/>
  <c r="J46" i="5"/>
  <c r="M55" i="5"/>
  <c r="H52" i="1"/>
  <c r="H46" i="5"/>
  <c r="L40" i="5"/>
  <c r="L46" i="5" s="1"/>
  <c r="M40" i="5"/>
  <c r="M46" i="5" s="1"/>
  <c r="K52" i="1"/>
  <c r="K46" i="5"/>
  <c r="M53" i="5"/>
  <c r="N52" i="1" l="1"/>
  <c r="M52" i="1"/>
  <c r="D24" i="10" l="1"/>
  <c r="H18" i="15" l="1"/>
  <c r="H23" i="15" s="1"/>
  <c r="H46" i="15" l="1"/>
  <c r="H48" i="15" s="1"/>
  <c r="H80" i="15" l="1"/>
  <c r="H82" i="15" s="1"/>
  <c r="H50" i="15"/>
  <c r="G35" i="29" l="1"/>
  <c r="G38" i="29" s="1"/>
  <c r="G42" i="29" l="1"/>
  <c r="G50" i="29"/>
  <c r="F35" i="29" l="1"/>
  <c r="F38" i="29" s="1"/>
  <c r="E35" i="29"/>
  <c r="E38" i="29" s="1"/>
  <c r="F50" i="29" l="1"/>
  <c r="F42" i="29"/>
  <c r="E42" i="29"/>
  <c r="E50" i="29"/>
  <c r="D35" i="29"/>
  <c r="D38" i="29" s="1"/>
  <c r="D50" i="29" l="1"/>
  <c r="D42" i="29"/>
  <c r="H38" i="29" l="1"/>
  <c r="H50" i="29" l="1"/>
  <c r="H42" i="29"/>
  <c r="J38" i="29" l="1"/>
  <c r="I38" i="29"/>
  <c r="K38" i="29"/>
  <c r="K50" i="29" l="1"/>
  <c r="K42" i="29"/>
  <c r="J50" i="29"/>
  <c r="J42" i="29"/>
  <c r="I50" i="29"/>
  <c r="I42" i="29"/>
  <c r="D69" i="29" l="1"/>
  <c r="H69" i="29"/>
  <c r="G69" i="29"/>
  <c r="E69" i="29" l="1"/>
  <c r="E71" i="29" s="1"/>
  <c r="E74" i="29" s="1"/>
  <c r="E75" i="29" s="1"/>
  <c r="D71" i="29"/>
  <c r="D74" i="29" s="1"/>
  <c r="D75" i="29" s="1"/>
  <c r="D80" i="29"/>
  <c r="E80" i="29"/>
  <c r="G80" i="29"/>
  <c r="G71" i="29"/>
  <c r="G74" i="29" s="1"/>
  <c r="G75" i="29" s="1"/>
  <c r="H71" i="29"/>
  <c r="H74" i="29" s="1"/>
  <c r="H75" i="29" s="1"/>
  <c r="H80" i="29"/>
  <c r="I69" i="29"/>
  <c r="F69" i="29"/>
  <c r="J69" i="29"/>
  <c r="K69" i="29"/>
  <c r="I71" i="29" l="1"/>
  <c r="I74" i="29" s="1"/>
  <c r="I75" i="29" s="1"/>
  <c r="I80" i="29"/>
  <c r="J80" i="29"/>
  <c r="J71" i="29"/>
  <c r="J74" i="29" s="1"/>
  <c r="J75" i="29" s="1"/>
  <c r="F80" i="29"/>
  <c r="F71" i="29"/>
  <c r="F74" i="29" s="1"/>
  <c r="F75" i="29" s="1"/>
  <c r="K71" i="29"/>
  <c r="K74" i="29" s="1"/>
  <c r="K75" i="29" s="1"/>
  <c r="K80" i="29"/>
  <c r="E24" i="10" l="1"/>
  <c r="G24" i="10" l="1"/>
  <c r="F24" i="10"/>
  <c r="F31" i="10" l="1"/>
  <c r="F21" i="10"/>
  <c r="E31" i="10"/>
  <c r="E21" i="10"/>
  <c r="H24" i="10"/>
  <c r="D31" i="10"/>
  <c r="D21" i="10"/>
  <c r="D29" i="10" s="1"/>
  <c r="G31" i="10"/>
  <c r="G21" i="10"/>
  <c r="E16" i="10" l="1"/>
  <c r="E18" i="10" s="1"/>
  <c r="E29" i="10" s="1"/>
  <c r="D32" i="10"/>
  <c r="D47" i="10"/>
  <c r="D38" i="10"/>
  <c r="D46" i="10" l="1"/>
  <c r="D45" i="10"/>
  <c r="F16" i="10"/>
  <c r="F18" i="10" s="1"/>
  <c r="F29" i="10" s="1"/>
  <c r="E32" i="10"/>
  <c r="E38" i="10"/>
  <c r="E47" i="10"/>
  <c r="F38" i="10" l="1"/>
  <c r="F32" i="10"/>
  <c r="G16" i="10"/>
  <c r="G18" i="10" s="1"/>
  <c r="G29" i="10" s="1"/>
  <c r="F47" i="10"/>
  <c r="D53" i="10"/>
  <c r="D49" i="10"/>
  <c r="D65" i="1"/>
  <c r="D54" i="10"/>
  <c r="D50" i="10"/>
  <c r="E45" i="10"/>
  <c r="E46" i="10"/>
  <c r="D66" i="1" l="1"/>
  <c r="D30" i="1" s="1"/>
  <c r="D55" i="10"/>
  <c r="F45" i="10"/>
  <c r="F46" i="10"/>
  <c r="E49" i="10"/>
  <c r="E53" i="10"/>
  <c r="G38" i="10"/>
  <c r="G47" i="10"/>
  <c r="G32" i="10"/>
  <c r="H16" i="10"/>
  <c r="H18" i="10" s="1"/>
  <c r="E54" i="10"/>
  <c r="E50" i="10"/>
  <c r="E65" i="1"/>
  <c r="D48" i="29"/>
  <c r="D58" i="10"/>
  <c r="D48" i="1"/>
  <c r="D19" i="1"/>
  <c r="D15" i="1"/>
  <c r="D12" i="1"/>
  <c r="D11" i="1"/>
  <c r="D18" i="1"/>
  <c r="D13" i="1"/>
  <c r="D17" i="1"/>
  <c r="D16" i="1"/>
  <c r="D14" i="1"/>
  <c r="D57" i="10"/>
  <c r="D51" i="10"/>
  <c r="D37" i="1" l="1"/>
  <c r="D38" i="1"/>
  <c r="D32" i="1"/>
  <c r="D35" i="1"/>
  <c r="D36" i="1"/>
  <c r="D31" i="1"/>
  <c r="D34" i="1"/>
  <c r="D33" i="1"/>
  <c r="E66" i="1"/>
  <c r="E30" i="1" s="1"/>
  <c r="E55" i="10"/>
  <c r="D59" i="10"/>
  <c r="D10" i="1"/>
  <c r="D20" i="1" s="1"/>
  <c r="D29" i="1"/>
  <c r="D58" i="1"/>
  <c r="E12" i="1"/>
  <c r="E14" i="1"/>
  <c r="E15" i="1"/>
  <c r="E19" i="1"/>
  <c r="E13" i="1"/>
  <c r="E17" i="1"/>
  <c r="E11" i="1"/>
  <c r="E16" i="1"/>
  <c r="E18" i="1"/>
  <c r="E57" i="10"/>
  <c r="E51" i="10"/>
  <c r="E58" i="10"/>
  <c r="E48" i="1"/>
  <c r="F50" i="10"/>
  <c r="F65" i="1"/>
  <c r="F54" i="10"/>
  <c r="F49" i="10"/>
  <c r="F53" i="10"/>
  <c r="E48" i="29"/>
  <c r="F66" i="1"/>
  <c r="G46" i="10"/>
  <c r="G45" i="10"/>
  <c r="E34" i="1" l="1"/>
  <c r="D39" i="1"/>
  <c r="E37" i="1"/>
  <c r="E33" i="1"/>
  <c r="E36" i="1"/>
  <c r="E38" i="1"/>
  <c r="E35" i="1"/>
  <c r="E31" i="1"/>
  <c r="E32" i="1"/>
  <c r="F55" i="10"/>
  <c r="E59" i="10"/>
  <c r="F37" i="1"/>
  <c r="F34" i="1"/>
  <c r="F32" i="1"/>
  <c r="F38" i="1"/>
  <c r="F35" i="1"/>
  <c r="F31" i="1"/>
  <c r="F30" i="1"/>
  <c r="F36" i="1"/>
  <c r="F33" i="1"/>
  <c r="F17" i="1"/>
  <c r="F16" i="1"/>
  <c r="F14" i="1"/>
  <c r="F11" i="1"/>
  <c r="F15" i="1"/>
  <c r="F19" i="1"/>
  <c r="F12" i="1"/>
  <c r="F18" i="1"/>
  <c r="F13" i="1"/>
  <c r="F57" i="10"/>
  <c r="F51" i="10"/>
  <c r="G49" i="10"/>
  <c r="G53" i="10"/>
  <c r="F48" i="1"/>
  <c r="F58" i="10"/>
  <c r="G66" i="1"/>
  <c r="E58" i="1"/>
  <c r="E10" i="1"/>
  <c r="E20" i="1" s="1"/>
  <c r="E29" i="1"/>
  <c r="G50" i="10"/>
  <c r="G65" i="1"/>
  <c r="G54" i="10"/>
  <c r="F48" i="29"/>
  <c r="D86" i="29"/>
  <c r="G48" i="29"/>
  <c r="E86" i="29"/>
  <c r="E39" i="1" l="1"/>
  <c r="F59" i="10"/>
  <c r="E88" i="29"/>
  <c r="E89" i="29" s="1"/>
  <c r="E59" i="1" s="1"/>
  <c r="E21" i="1" s="1"/>
  <c r="F10" i="1"/>
  <c r="F20" i="1" s="1"/>
  <c r="F58" i="1"/>
  <c r="F29" i="1"/>
  <c r="F39" i="1" s="1"/>
  <c r="D88" i="29"/>
  <c r="D89" i="29" s="1"/>
  <c r="D59" i="1" s="1"/>
  <c r="G55" i="10"/>
  <c r="G15" i="1"/>
  <c r="G16" i="1"/>
  <c r="G18" i="1"/>
  <c r="G11" i="1"/>
  <c r="G17" i="1"/>
  <c r="G13" i="1"/>
  <c r="G12" i="1"/>
  <c r="G14" i="1"/>
  <c r="G19" i="1"/>
  <c r="G57" i="10"/>
  <c r="G51" i="10"/>
  <c r="G58" i="10"/>
  <c r="G48" i="1"/>
  <c r="G36" i="1"/>
  <c r="G34" i="1"/>
  <c r="G31" i="1"/>
  <c r="G32" i="1"/>
  <c r="G35" i="1"/>
  <c r="G33" i="1"/>
  <c r="G30" i="1"/>
  <c r="G37" i="1"/>
  <c r="G38" i="1"/>
  <c r="E87" i="29"/>
  <c r="D87" i="29"/>
  <c r="E90" i="29" l="1"/>
  <c r="E60" i="1" s="1"/>
  <c r="E40" i="1" s="1"/>
  <c r="E51" i="29"/>
  <c r="E52" i="29" s="1"/>
  <c r="E54" i="29" s="1"/>
  <c r="E82" i="29" s="1"/>
  <c r="D51" i="29"/>
  <c r="D52" i="29" s="1"/>
  <c r="D54" i="29" s="1"/>
  <c r="D82" i="29" s="1"/>
  <c r="D61" i="1" s="1"/>
  <c r="D90" i="29"/>
  <c r="D60" i="1" s="1"/>
  <c r="D21" i="1"/>
  <c r="G59" i="10"/>
  <c r="D84" i="29"/>
  <c r="D62" i="1" s="1"/>
  <c r="F86" i="29"/>
  <c r="G10" i="1"/>
  <c r="G20" i="1" s="1"/>
  <c r="G58" i="1"/>
  <c r="G29" i="1"/>
  <c r="G39" i="1" s="1"/>
  <c r="E61" i="1"/>
  <c r="E84" i="29"/>
  <c r="E62" i="1" l="1"/>
  <c r="G88" i="29"/>
  <c r="G89" i="29" s="1"/>
  <c r="G59" i="1" s="1"/>
  <c r="G21" i="1" s="1"/>
  <c r="E63" i="1"/>
  <c r="G86" i="29"/>
  <c r="F87" i="29"/>
  <c r="E22" i="1"/>
  <c r="E23" i="1" s="1"/>
  <c r="E41" i="1"/>
  <c r="E42" i="1" s="1"/>
  <c r="D22" i="1"/>
  <c r="D23" i="1" s="1"/>
  <c r="D41" i="1"/>
  <c r="D63" i="1"/>
  <c r="D40" i="1"/>
  <c r="D42" i="1" l="1"/>
  <c r="G51" i="29"/>
  <c r="G52" i="29" s="1"/>
  <c r="G54" i="29" s="1"/>
  <c r="G82" i="29" s="1"/>
  <c r="G87" i="29"/>
  <c r="G90" i="29" s="1"/>
  <c r="G60" i="1" s="1"/>
  <c r="G40" i="1" s="1"/>
  <c r="F88" i="29"/>
  <c r="F89" i="29" l="1"/>
  <c r="F51" i="29"/>
  <c r="F52" i="29" s="1"/>
  <c r="F54" i="29" s="1"/>
  <c r="F82" i="29" s="1"/>
  <c r="G61" i="1"/>
  <c r="G84" i="29"/>
  <c r="G62" i="1" s="1"/>
  <c r="G63" i="1" l="1"/>
  <c r="G22" i="1"/>
  <c r="G23" i="1" s="1"/>
  <c r="G41" i="1"/>
  <c r="G42" i="1" s="1"/>
  <c r="F61" i="1"/>
  <c r="F84" i="29"/>
  <c r="F59" i="1"/>
  <c r="F90" i="29"/>
  <c r="F60" i="1" s="1"/>
  <c r="F62" i="1" l="1"/>
  <c r="F63" i="1" s="1"/>
  <c r="F40" i="1"/>
  <c r="F21" i="1"/>
  <c r="F22" i="1"/>
  <c r="F41" i="1" l="1"/>
  <c r="F42" i="1" s="1"/>
  <c r="F23" i="1"/>
  <c r="H31" i="10" l="1"/>
  <c r="K21" i="10" l="1"/>
  <c r="I31" i="10"/>
  <c r="J21" i="10"/>
  <c r="J31" i="10"/>
  <c r="H21" i="10"/>
  <c r="H29" i="10" s="1"/>
  <c r="K31" i="10"/>
  <c r="I21" i="10"/>
  <c r="J24" i="10" l="1"/>
  <c r="H38" i="10"/>
  <c r="I16" i="10"/>
  <c r="I18" i="10" s="1"/>
  <c r="H47" i="10"/>
  <c r="I24" i="10"/>
  <c r="K24" i="10"/>
  <c r="H46" i="10" l="1"/>
  <c r="H45" i="10"/>
  <c r="I29" i="10"/>
  <c r="J16" i="10" l="1"/>
  <c r="J18" i="10" s="1"/>
  <c r="J29" i="10" s="1"/>
  <c r="I47" i="10"/>
  <c r="I38" i="10"/>
  <c r="H49" i="10"/>
  <c r="H53" i="10"/>
  <c r="H54" i="10"/>
  <c r="H65" i="1"/>
  <c r="H50" i="10"/>
  <c r="H66" i="1"/>
  <c r="H55" i="10" l="1"/>
  <c r="H35" i="1"/>
  <c r="H32" i="1"/>
  <c r="H34" i="1"/>
  <c r="H30" i="1"/>
  <c r="H31" i="1"/>
  <c r="H37" i="1"/>
  <c r="H38" i="1"/>
  <c r="H33" i="1"/>
  <c r="H36" i="1"/>
  <c r="M36" i="1"/>
  <c r="M38" i="1"/>
  <c r="M34" i="1"/>
  <c r="M35" i="1"/>
  <c r="M30" i="1"/>
  <c r="M37" i="1"/>
  <c r="M33" i="1"/>
  <c r="M32" i="1"/>
  <c r="M31" i="1"/>
  <c r="H11" i="1"/>
  <c r="H19" i="1"/>
  <c r="H12" i="1"/>
  <c r="H15" i="1"/>
  <c r="H14" i="1"/>
  <c r="H16" i="1"/>
  <c r="H13" i="1"/>
  <c r="H17" i="1"/>
  <c r="H18" i="1"/>
  <c r="M17" i="1"/>
  <c r="M19" i="1"/>
  <c r="M13" i="1"/>
  <c r="M11" i="1"/>
  <c r="M12" i="1"/>
  <c r="M16" i="1"/>
  <c r="M18" i="1"/>
  <c r="M15" i="1"/>
  <c r="M14" i="1"/>
  <c r="H57" i="10"/>
  <c r="H51" i="10"/>
  <c r="H48" i="29"/>
  <c r="I45" i="10"/>
  <c r="I46" i="10"/>
  <c r="H48" i="1"/>
  <c r="H58" i="10"/>
  <c r="J38" i="10"/>
  <c r="J47" i="10"/>
  <c r="K16" i="10"/>
  <c r="K18" i="10" s="1"/>
  <c r="K29" i="10" s="1"/>
  <c r="I50" i="10" l="1"/>
  <c r="I54" i="10"/>
  <c r="I65" i="1"/>
  <c r="I53" i="10"/>
  <c r="I49" i="10"/>
  <c r="H59" i="10"/>
  <c r="J46" i="10"/>
  <c r="J45" i="10"/>
  <c r="K38" i="10"/>
  <c r="K47" i="10"/>
  <c r="M48" i="1"/>
  <c r="M58" i="1" s="1"/>
  <c r="H58" i="1"/>
  <c r="H10" i="1"/>
  <c r="H29" i="1"/>
  <c r="H39" i="1" s="1"/>
  <c r="M10" i="1"/>
  <c r="M29" i="1"/>
  <c r="M39" i="1" s="1"/>
  <c r="M20" i="1" l="1"/>
  <c r="H20" i="1"/>
  <c r="I55" i="10"/>
  <c r="J54" i="10"/>
  <c r="J65" i="1"/>
  <c r="J50" i="10"/>
  <c r="I48" i="1"/>
  <c r="I58" i="10"/>
  <c r="I48" i="29"/>
  <c r="K45" i="10"/>
  <c r="K46" i="10"/>
  <c r="I57" i="10"/>
  <c r="I51" i="10"/>
  <c r="H86" i="29"/>
  <c r="J66" i="1"/>
  <c r="J48" i="29"/>
  <c r="I66" i="1"/>
  <c r="J53" i="10"/>
  <c r="J55" i="10" s="1"/>
  <c r="J49" i="10"/>
  <c r="I14" i="1"/>
  <c r="I19" i="1"/>
  <c r="I17" i="1"/>
  <c r="I15" i="1"/>
  <c r="I11" i="1"/>
  <c r="I16" i="1"/>
  <c r="I12" i="1"/>
  <c r="I18" i="1"/>
  <c r="I13" i="1"/>
  <c r="I59" i="10" l="1"/>
  <c r="H87" i="29"/>
  <c r="J58" i="10"/>
  <c r="J48" i="1"/>
  <c r="J16" i="1"/>
  <c r="J11" i="1"/>
  <c r="J19" i="1"/>
  <c r="J12" i="1"/>
  <c r="J15" i="1"/>
  <c r="J14" i="1"/>
  <c r="J17" i="1"/>
  <c r="J18" i="1"/>
  <c r="J13" i="1"/>
  <c r="I37" i="1"/>
  <c r="I35" i="1"/>
  <c r="I31" i="1"/>
  <c r="I36" i="1"/>
  <c r="I34" i="1"/>
  <c r="I30" i="1"/>
  <c r="I38" i="1"/>
  <c r="I32" i="1"/>
  <c r="I33" i="1"/>
  <c r="J35" i="1"/>
  <c r="J32" i="1"/>
  <c r="J36" i="1"/>
  <c r="J33" i="1"/>
  <c r="J31" i="1"/>
  <c r="J34" i="1"/>
  <c r="J30" i="1"/>
  <c r="J37" i="1"/>
  <c r="J38" i="1"/>
  <c r="K48" i="29"/>
  <c r="J57" i="10"/>
  <c r="J59" i="10" s="1"/>
  <c r="J51" i="10"/>
  <c r="K66" i="1"/>
  <c r="I10" i="1"/>
  <c r="I20" i="1" s="1"/>
  <c r="I58" i="1"/>
  <c r="I29" i="1"/>
  <c r="K65" i="1"/>
  <c r="K50" i="10"/>
  <c r="K54" i="10"/>
  <c r="K49" i="10"/>
  <c r="K53" i="10"/>
  <c r="I39" i="1" l="1"/>
  <c r="K37" i="1"/>
  <c r="K38" i="1"/>
  <c r="K31" i="1"/>
  <c r="K33" i="1"/>
  <c r="K32" i="1"/>
  <c r="K34" i="1"/>
  <c r="K36" i="1"/>
  <c r="K35" i="1"/>
  <c r="K30" i="1"/>
  <c r="N36" i="1"/>
  <c r="N33" i="1"/>
  <c r="N34" i="1"/>
  <c r="K58" i="10"/>
  <c r="K48" i="1"/>
  <c r="K55" i="10"/>
  <c r="K11" i="1"/>
  <c r="K12" i="1"/>
  <c r="K15" i="1"/>
  <c r="K16" i="1"/>
  <c r="K14" i="1"/>
  <c r="K19" i="1"/>
  <c r="K13" i="1"/>
  <c r="K17" i="1"/>
  <c r="K18" i="1"/>
  <c r="N19" i="1"/>
  <c r="N11" i="1"/>
  <c r="N18" i="1"/>
  <c r="N15" i="1"/>
  <c r="N14" i="1"/>
  <c r="N16" i="1"/>
  <c r="N12" i="1"/>
  <c r="N13" i="1"/>
  <c r="N17" i="1"/>
  <c r="N31" i="1"/>
  <c r="J10" i="1"/>
  <c r="J20" i="1" s="1"/>
  <c r="J29" i="1"/>
  <c r="J39" i="1" s="1"/>
  <c r="J58" i="1"/>
  <c r="K51" i="10"/>
  <c r="K57" i="10"/>
  <c r="J86" i="29"/>
  <c r="N32" i="1"/>
  <c r="I88" i="29"/>
  <c r="I89" i="29" s="1"/>
  <c r="I59" i="1" s="1"/>
  <c r="I21" i="1" s="1"/>
  <c r="N37" i="1"/>
  <c r="H88" i="29"/>
  <c r="N35" i="1"/>
  <c r="I86" i="29"/>
  <c r="N30" i="1"/>
  <c r="N38" i="1"/>
  <c r="K59" i="10" l="1"/>
  <c r="I87" i="29"/>
  <c r="I90" i="29" s="1"/>
  <c r="I60" i="1" s="1"/>
  <c r="I40" i="1" s="1"/>
  <c r="I51" i="29"/>
  <c r="I52" i="29" s="1"/>
  <c r="I54" i="29" s="1"/>
  <c r="I82" i="29" s="1"/>
  <c r="K58" i="1"/>
  <c r="K29" i="1"/>
  <c r="K39" i="1" s="1"/>
  <c r="K10" i="1"/>
  <c r="K20" i="1" s="1"/>
  <c r="N48" i="1"/>
  <c r="N58" i="1" s="1"/>
  <c r="N10" i="1"/>
  <c r="N29" i="1"/>
  <c r="J88" i="29"/>
  <c r="J89" i="29" s="1"/>
  <c r="J59" i="1" s="1"/>
  <c r="J21" i="1" s="1"/>
  <c r="J87" i="29"/>
  <c r="H89" i="29"/>
  <c r="H51" i="29"/>
  <c r="H52" i="29" s="1"/>
  <c r="H54" i="29" s="1"/>
  <c r="H82" i="29" s="1"/>
  <c r="N20" i="1" l="1"/>
  <c r="N39" i="1"/>
  <c r="K86" i="29"/>
  <c r="I61" i="1"/>
  <c r="I84" i="29"/>
  <c r="I62" i="1" s="1"/>
  <c r="I63" i="1" s="1"/>
  <c r="J90" i="29"/>
  <c r="J60" i="1" s="1"/>
  <c r="J40" i="1" s="1"/>
  <c r="J51" i="29"/>
  <c r="J52" i="29" s="1"/>
  <c r="J54" i="29" s="1"/>
  <c r="J82" i="29" s="1"/>
  <c r="H61" i="1"/>
  <c r="H84" i="29"/>
  <c r="H59" i="1"/>
  <c r="H90" i="29"/>
  <c r="H60" i="1" s="1"/>
  <c r="H21" i="1" l="1"/>
  <c r="M40" i="1"/>
  <c r="M59" i="1"/>
  <c r="M21" i="1"/>
  <c r="I22" i="1"/>
  <c r="I23" i="1" s="1"/>
  <c r="I41" i="1"/>
  <c r="I42" i="1" s="1"/>
  <c r="H62" i="1"/>
  <c r="H41" i="1" s="1"/>
  <c r="H22" i="1"/>
  <c r="M61" i="1"/>
  <c r="M22" i="1"/>
  <c r="K87" i="29"/>
  <c r="H40" i="1"/>
  <c r="M60" i="1"/>
  <c r="K88" i="29"/>
  <c r="K89" i="29" s="1"/>
  <c r="K59" i="1" s="1"/>
  <c r="N21" i="1" s="1"/>
  <c r="J61" i="1"/>
  <c r="J84" i="29"/>
  <c r="J62" i="1" s="1"/>
  <c r="M41" i="1" l="1"/>
  <c r="M42" i="1" s="1"/>
  <c r="J63" i="1"/>
  <c r="K51" i="29"/>
  <c r="K52" i="29" s="1"/>
  <c r="K54" i="29" s="1"/>
  <c r="K82" i="29" s="1"/>
  <c r="K61" i="1" s="1"/>
  <c r="K90" i="29"/>
  <c r="K60" i="1" s="1"/>
  <c r="M23" i="1"/>
  <c r="H42" i="1"/>
  <c r="N59" i="1"/>
  <c r="H63" i="1"/>
  <c r="M62" i="1"/>
  <c r="M63" i="1" s="1"/>
  <c r="J22" i="1"/>
  <c r="J23" i="1" s="1"/>
  <c r="J41" i="1"/>
  <c r="J42" i="1" s="1"/>
  <c r="K21" i="1"/>
  <c r="H23" i="1"/>
  <c r="K84" i="29" l="1"/>
  <c r="K62" i="1" s="1"/>
  <c r="K40" i="1"/>
  <c r="N60" i="1"/>
  <c r="N40" i="1"/>
  <c r="N61" i="1"/>
  <c r="K22" i="1"/>
  <c r="K23" i="1" s="1"/>
  <c r="N22" i="1"/>
  <c r="K41" i="1" l="1"/>
  <c r="K42" i="1" s="1"/>
  <c r="N41" i="1"/>
  <c r="N23" i="1"/>
  <c r="N62" i="1"/>
  <c r="N63" i="1" s="1"/>
  <c r="K63" i="1"/>
  <c r="N42" i="1"/>
  <c r="H13" i="11" l="1"/>
</calcChain>
</file>

<file path=xl/sharedStrings.xml><?xml version="1.0" encoding="utf-8"?>
<sst xmlns="http://schemas.openxmlformats.org/spreadsheetml/2006/main" count="1500" uniqueCount="666">
  <si>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</si>
  <si>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</si>
  <si>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</si>
  <si>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</si>
  <si>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</si>
  <si>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</si>
  <si>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</si>
  <si>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</si>
  <si>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</si>
  <si>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</si>
  <si>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</si>
  <si>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</si>
  <si>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</si>
  <si>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</si>
  <si>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</si>
  <si>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</si>
  <si>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</si>
  <si>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</si>
  <si>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</si>
  <si>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</si>
  <si>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</si>
  <si>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</si>
  <si>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</si>
  <si>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</si>
  <si>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</si>
  <si>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</si>
  <si>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</si>
  <si>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</si>
  <si>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</si>
  <si>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</si>
  <si>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</si>
  <si>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</si>
  <si>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</si>
  <si>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</si>
  <si>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</si>
  <si>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</si>
  <si>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</si>
  <si>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</si>
  <si>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</si>
  <si>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</si>
  <si>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</si>
  <si>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</si>
  <si>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</si>
  <si>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</si>
  <si>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</si>
  <si>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</si>
  <si>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</si>
  <si>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</si>
  <si>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</si>
  <si>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</si>
  <si>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</si>
  <si>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</si>
  <si>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</si>
  <si>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</si>
  <si>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</si>
  <si>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</si>
  <si>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</si>
  <si>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</si>
  <si>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</si>
  <si>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</si>
  <si>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</si>
  <si>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</si>
  <si>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</si>
  <si>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</si>
  <si>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</si>
  <si>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</si>
  <si>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</si>
  <si>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</si>
  <si>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</si>
  <si>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</si>
  <si>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</si>
  <si>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</si>
  <si>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</si>
  <si>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</si>
  <si>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</si>
  <si>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</si>
  <si>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</si>
  <si>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</si>
  <si>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</si>
  <si>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</si>
  <si>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</si>
  <si>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</si>
  <si>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</si>
  <si>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</si>
  <si>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</si>
  <si>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</si>
  <si>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</si>
  <si>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</si>
  <si>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</si>
  <si>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</si>
  <si>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</si>
  <si>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</si>
  <si>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</si>
  <si>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</si>
  <si>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</si>
  <si>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</si>
  <si>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</si>
  <si>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</si>
  <si>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</si>
  <si>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</si>
  <si>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</si>
  <si>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</si>
  <si>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</si>
  <si>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</si>
  <si>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</si>
  <si>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</si>
  <si>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</si>
  <si>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</si>
  <si>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</si>
  <si>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</si>
  <si>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</si>
  <si>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</si>
  <si>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</si>
  <si>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</si>
  <si>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</si>
  <si>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</si>
  <si>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</si>
  <si>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</si>
  <si>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</si>
  <si>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</si>
  <si>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</si>
  <si>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</si>
  <si>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</si>
  <si>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</si>
  <si>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</si>
  <si>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</si>
  <si>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</si>
  <si>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</si>
  <si>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</si>
  <si>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</si>
  <si>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</si>
  <si>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</si>
  <si>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</si>
  <si>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</si>
  <si>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</si>
  <si>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</si>
  <si>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</si>
  <si>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</si>
  <si>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</si>
  <si>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</si>
  <si>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</si>
  <si>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</si>
  <si>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</si>
  <si>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</si>
  <si>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</si>
  <si>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</si>
  <si>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</si>
  <si>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</si>
  <si>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</si>
  <si>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</si>
  <si>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</si>
  <si>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</si>
  <si>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</si>
  <si>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</si>
  <si>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</si>
  <si>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</si>
  <si>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</si>
  <si>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</si>
  <si>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</si>
  <si>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</si>
  <si>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</si>
  <si>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</si>
  <si>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</si>
  <si>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</si>
  <si>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</si>
  <si>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</si>
  <si>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</si>
  <si>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</si>
  <si>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</si>
  <si>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</si>
  <si>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</si>
  <si>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</si>
  <si>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</si>
  <si>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</si>
  <si>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</si>
  <si>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</si>
  <si>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</si>
  <si>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</si>
  <si>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</si>
  <si>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</si>
  <si>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</si>
  <si>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</si>
  <si>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</si>
  <si>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</si>
  <si>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</si>
  <si>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</si>
  <si>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</si>
  <si>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</si>
  <si>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</si>
  <si>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</si>
  <si>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</si>
  <si>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</si>
  <si>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</si>
  <si>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</si>
  <si>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</si>
  <si>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</si>
  <si>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</si>
  <si>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</si>
  <si>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</si>
  <si>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</si>
  <si>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</si>
  <si>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</si>
  <si>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</si>
  <si>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</si>
  <si>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</si>
  <si>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</si>
  <si>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</si>
  <si>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</si>
  <si>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</si>
  <si>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</si>
  <si>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</si>
  <si>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</si>
  <si>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</si>
  <si>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</si>
  <si>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</si>
  <si>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</si>
  <si>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</si>
  <si>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</si>
  <si>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</si>
  <si>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</si>
  <si>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</si>
  <si>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</si>
  <si>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</si>
  <si>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</si>
  <si>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</si>
  <si>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</si>
  <si>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</si>
  <si>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</si>
  <si>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</si>
  <si>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</si>
  <si>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</si>
  <si>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</si>
  <si>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</si>
  <si>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</si>
  <si>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</si>
  <si>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</si>
  <si>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</si>
  <si>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</si>
  <si>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</si>
  <si>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</si>
  <si>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</si>
  <si>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</si>
  <si>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</si>
  <si>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</si>
  <si>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</si>
  <si>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</si>
  <si>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</si>
  <si>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</si>
  <si>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</si>
  <si>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</si>
  <si>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</si>
  <si>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</si>
  <si>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</si>
  <si>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</si>
  <si>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</si>
  <si>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</si>
  <si>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</si>
  <si>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</si>
  <si>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</si>
  <si>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</si>
  <si>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</si>
  <si>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</si>
  <si>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</si>
  <si>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</si>
  <si>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</si>
  <si>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</si>
  <si>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</si>
  <si>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</si>
  <si>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</si>
  <si>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</si>
  <si>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</si>
  <si>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</si>
  <si>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</si>
  <si>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</si>
  <si>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</si>
  <si>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</si>
  <si>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</si>
  <si>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</si>
  <si>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</si>
  <si>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</si>
  <si>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</si>
  <si>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</si>
  <si>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</si>
  <si>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</si>
  <si>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</si>
  <si>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</si>
  <si>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</si>
  <si>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</si>
  <si>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</si>
  <si>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</si>
  <si>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</si>
  <si>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</si>
  <si>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</si>
  <si>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</si>
  <si>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</si>
  <si>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</si>
  <si>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</si>
  <si>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</si>
  <si>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</si>
  <si>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</si>
  <si>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</si>
  <si>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</si>
  <si>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</si>
  <si>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</si>
  <si>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</si>
  <si>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</si>
  <si>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</si>
  <si>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</si>
  <si>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</si>
  <si>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</si>
  <si>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</si>
  <si>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</si>
  <si>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</si>
  <si>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</si>
  <si>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</si>
  <si>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</si>
  <si>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</si>
  <si>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</si>
  <si>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</si>
  <si>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</si>
  <si>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</si>
  <si>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</si>
  <si>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</si>
  <si>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</si>
  <si>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</si>
  <si>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</si>
  <si>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</si>
  <si>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</si>
  <si>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</si>
  <si>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</si>
  <si>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</si>
  <si>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</si>
  <si>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</si>
  <si>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</si>
  <si>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</si>
  <si>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</si>
  <si>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</si>
  <si>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</si>
  <si>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</si>
  <si>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</si>
  <si>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</si>
  <si>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</si>
  <si>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</si>
  <si>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</si>
  <si>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</si>
  <si>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</si>
  <si>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</si>
  <si>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</si>
  <si>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</si>
  <si>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</si>
  <si>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</si>
  <si>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</si>
  <si>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5. Other adjustment (Overwrite)</t>
  </si>
  <si>
    <t>6. Other adjustment (Overwrite)</t>
  </si>
  <si>
    <t>7. Other adjustment (Overwrite)</t>
  </si>
  <si>
    <t>8. Other adjustment (Overwrite)</t>
  </si>
  <si>
    <t>9. Other adjustment (Overwrite)</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</si>
  <si>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</si>
  <si>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</si>
  <si>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</si>
  <si>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</si>
  <si>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</si>
  <si>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</si>
  <si>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</si>
  <si>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</si>
  <si>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</si>
  <si>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</si>
  <si>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</si>
  <si>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</si>
  <si>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</si>
  <si>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</si>
  <si>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</si>
  <si>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</si>
  <si>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</si>
  <si>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</si>
  <si>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</si>
  <si>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</si>
  <si>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</si>
  <si>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</si>
  <si>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</si>
  <si>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</si>
  <si>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</si>
  <si>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</si>
  <si>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</si>
  <si>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</si>
  <si>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</si>
  <si>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</si>
  <si>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</si>
  <si>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</si>
  <si>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</si>
  <si>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</si>
  <si>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</si>
  <si>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</si>
  <si>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</si>
  <si>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</si>
  <si>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</si>
  <si>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</si>
  <si>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</si>
  <si>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</si>
  <si>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</si>
  <si>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</si>
  <si>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</si>
  <si>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</si>
  <si>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</si>
  <si>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</si>
  <si>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</si>
  <si>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</si>
  <si>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</si>
  <si>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</si>
  <si>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</si>
  <si>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</si>
  <si>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</si>
  <si>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</si>
  <si>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</si>
  <si>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</si>
  <si>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</si>
  <si>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</si>
  <si>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</si>
  <si>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</si>
  <si>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</si>
  <si>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</si>
  <si>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</si>
  <si>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</si>
  <si>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</si>
  <si>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</si>
  <si>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</si>
  <si>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</si>
  <si>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</si>
  <si>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</si>
  <si>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</si>
  <si>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</si>
  <si>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</si>
  <si>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</si>
  <si>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</si>
  <si>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</si>
  <si>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</si>
  <si>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</si>
  <si>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</si>
  <si>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</si>
  <si>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</si>
  <si>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</si>
  <si>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</si>
  <si>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</si>
  <si>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</si>
  <si>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</si>
  <si>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</si>
  <si>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</si>
  <si>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</si>
  <si>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</si>
  <si>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</si>
  <si>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</si>
  <si>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</si>
  <si>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</si>
  <si>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</si>
  <si>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</si>
  <si>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</si>
  <si>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</si>
  <si>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</si>
  <si>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</si>
  <si>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</si>
  <si>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</si>
  <si>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</si>
  <si>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</si>
  <si>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</si>
  <si>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</si>
  <si>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</si>
  <si>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</si>
  <si>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</si>
  <si>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</si>
  <si>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</si>
  <si>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</si>
  <si>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</si>
  <si>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</si>
  <si>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</si>
  <si>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</si>
  <si>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</si>
  <si>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</si>
  <si>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</si>
  <si>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</si>
  <si>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</si>
  <si>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</si>
  <si>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</si>
  <si>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</si>
  <si>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</si>
  <si>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</si>
  <si>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</si>
  <si>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</si>
  <si>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</si>
  <si>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</si>
  <si>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</si>
  <si>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</si>
  <si>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</si>
  <si>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</si>
  <si>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</si>
  <si>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</si>
  <si>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</si>
  <si>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</si>
  <si>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</si>
  <si>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</si>
  <si>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</si>
  <si>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</si>
  <si>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</si>
  <si>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</si>
  <si>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</si>
  <si>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</si>
  <si>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</si>
  <si>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</si>
  <si>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</si>
  <si>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</si>
  <si>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</si>
  <si>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</si>
  <si>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</si>
  <si>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</si>
  <si>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</si>
  <si>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</si>
  <si>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</si>
  <si>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</si>
  <si>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</si>
  <si>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</si>
  <si>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</si>
  <si>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</si>
  <si>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</si>
  <si>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</si>
  <si>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</si>
  <si>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</si>
  <si>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</si>
  <si>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</si>
  <si>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</si>
  <si>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</si>
  <si>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</si>
  <si>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</si>
  <si>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</si>
  <si>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</si>
  <si>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</si>
  <si>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</si>
  <si>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</si>
  <si>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</si>
  <si>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</si>
  <si>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</si>
  <si>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</si>
  <si>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</si>
  <si>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</si>
  <si>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</si>
  <si>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</si>
  <si>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</si>
  <si>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</si>
  <si>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</si>
  <si>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</si>
  <si>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</si>
  <si>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</si>
  <si>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</si>
  <si>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</si>
  <si>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</si>
  <si>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</si>
  <si>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</si>
  <si>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</si>
  <si>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</si>
  <si>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</si>
  <si>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</si>
  <si>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</si>
  <si>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</si>
  <si>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</si>
  <si>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</si>
  <si>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</si>
  <si>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</si>
  <si>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</si>
  <si>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</si>
  <si>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</si>
  <si>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</si>
  <si>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</si>
  <si>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</si>
  <si>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</si>
  <si>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</si>
  <si>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</si>
  <si>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</si>
  <si>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</si>
  <si>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</si>
  <si>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</si>
  <si>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Changed the format of Column Q to be a RPI number to two decimal places, instead of a percentage</t>
  </si>
  <si>
    <t>Items reported as Cost Recoveries in the RRP, but Turnover in the Reg Accounts</t>
  </si>
  <si>
    <t>Items reported as cost recoveries in the Reg Accounts, but Revenue in the Revenue Return</t>
  </si>
  <si>
    <t>NIA and LCN Tier 2 income adjustments</t>
  </si>
  <si>
    <t>DRS1 revenue Outside Price Control</t>
  </si>
  <si>
    <t>Connections Contributions not treated as revenue Inside/Outside Price Control</t>
  </si>
  <si>
    <t>DRS1 revenue Inside Price Control</t>
  </si>
  <si>
    <t>DPCR4 residual distribution losses incentive (WPD and SSE owned licencees)</t>
  </si>
  <si>
    <t>Profit/Loss on Disposal of Fixed assets reported in RRP (not included above)</t>
  </si>
  <si>
    <t>Capitalised depreciation included in Tangible Fixed Asset Additions in Reg Accounts, but not reported in RRP</t>
  </si>
  <si>
    <t>Adjustments to convert from FRS101 basis in Reg Accounts to UK GAAP basis in RRP (ARO and capitalised interest)</t>
  </si>
  <si>
    <t>Capital items in Reg Accounts, but not in RRP</t>
  </si>
  <si>
    <t>Capital items in RRP, but not in Reg Accounts</t>
  </si>
  <si>
    <t>Regulatory Accounts Income treated as contributions and cost recoveries in RRP</t>
  </si>
  <si>
    <t>Cost recoveries treated as operating costs in Regulatory Accounts (and Revenue Return), but analysed as Income in the RIGs</t>
  </si>
  <si>
    <t>Operating cost adjustments in RRP, but not in Reg Accounts</t>
  </si>
  <si>
    <t>Non cash atypical and provision movements included in Reg Accounts, but not in RRP</t>
  </si>
  <si>
    <t>Pension deficit costs reported in RRP, but not in Reg Accounts</t>
  </si>
  <si>
    <t>Pensions prepayment adjustments reported in RRP, but not in Reg Accounts</t>
  </si>
  <si>
    <t>Reporting differences between Reg Accounts and RRP on ongoing pension charges</t>
  </si>
  <si>
    <t>Other pensions adjustments</t>
  </si>
  <si>
    <t>NIA / LCNF capital contributions adjustment</t>
  </si>
  <si>
    <t>Other, including rounding</t>
  </si>
  <si>
    <t>GMP equalisation not in the RRP</t>
  </si>
  <si>
    <t>Non Activity Based costs - Includes Business Rates &amp; Transmission Connection Point Charges incurred</t>
  </si>
  <si>
    <t>Other Non Activity Based costs - Includes Pensions Established Deficit Repair Payments</t>
  </si>
  <si>
    <t>Activity based Costs outside Price Control - Includes connections</t>
  </si>
  <si>
    <t>Other agreed Totex adjustments</t>
  </si>
  <si>
    <t>SOLR and bad debt claims not in P&amp;L</t>
  </si>
  <si>
    <t>R3</t>
  </si>
  <si>
    <t>FRS101 adjustment - ARO</t>
  </si>
  <si>
    <t>IFRS16 Lease Interest Expense</t>
  </si>
  <si>
    <t>Interest capitalised</t>
  </si>
  <si>
    <t>Interest associated to Long term loans (Not for benefit of regulated business or distribution in nature)</t>
  </si>
  <si>
    <t>(Discount)/premium on issue</t>
  </si>
  <si>
    <t>Other amounts due to/(from) group companies</t>
  </si>
  <si>
    <t xml:space="preserve">Restricted cash balances - Excluded from the 'Net Debt per Regulatory Definition' per the 2018 RIGs Ofgem consultation and retrospectively removed from 2016 &amp; 2017 </t>
  </si>
  <si>
    <t xml:space="preserve">Year end balances of fair value adjustments on derivatives </t>
  </si>
  <si>
    <t>Dividend paid not related to Regulated business per WPD methodology</t>
  </si>
  <si>
    <t>R13</t>
  </si>
  <si>
    <t>2.0</t>
  </si>
  <si>
    <t>Following updated guidance &amp; clarification within the RIIO Regulatory Financial Performance Reporting – Regulatory Instructions and Guidance Version 2.0, published on the 16th of June 2020, Guaranteed Standard (GS) payments reported on row 19 have been adjusted to exclude Ex-gratia payments.</t>
  </si>
  <si>
    <t>A licence change associated to supplier bad debt has resulted in a prior year adjustment to 2019. This adjustment has been added into cells G42/G53 to accurately reflect the licence change impact.</t>
  </si>
  <si>
    <t>Pensions prepayment (See Appendices within RFPR commentary documentation)</t>
  </si>
  <si>
    <t>Rail Electrification (See Appendices within RFRS commentary documentation)</t>
  </si>
  <si>
    <t>The 2019/20 SECV incentive reward is still to be assessed by Ofgem and therefore the 2020 Actuals has been forecast on the prior 3 year average.</t>
  </si>
  <si>
    <t>RPI true up</t>
  </si>
  <si>
    <t>DPCR5 legacy revenue adjustment</t>
  </si>
  <si>
    <t>Revenue profiling adjustment</t>
  </si>
  <si>
    <t>Enduring value adjustments</t>
  </si>
  <si>
    <t>Appendix 2</t>
  </si>
  <si>
    <t>Metering equipment and services</t>
  </si>
  <si>
    <t>Directly Remunerated Services (excluding metering)</t>
  </si>
  <si>
    <t>General transfers between DNOs not in Regs</t>
  </si>
  <si>
    <t xml:space="preserve">Cells E24 and F24 have been updated to include the latest actual RPI data, as directed by Varun Venaik via an email dated 06/07/2020. 
Cells G39 TO J39 have been updated to include May 2020 HMT Forecasts for UK Economy - M3 New Forecasts RPI, as directed by Varun Venaik via an email dated 06/07/2020.
Cells K63, L63, K64 and L64 have been updated to reflect a revised allowed cost of debt forecast %, as directed by Varun Venaik via an email dated 20/07/2020. </t>
  </si>
  <si>
    <t>The pre-determined formula in cell D37, = ('R8 - Net Debt'!D54-AVERAGE('R8 - Net Debt'!D8,('R8 - Net Debt'!E10-'R8a - Net Debt input'!T18)))*(Data!C36-1),  has been corrected and updated to =('R8 - Net Debt'!D54-AVERAGE('R8 - Net Debt'!D8,('R8 - Net Debt'!D10-'R8a - Net Debt input'!T18)))*(Data!C36-1). This followed the identification of an error whereby the prior formula was using the wrong year’s closing Cash, short term deposits and overdrafts (per Balance Sheet) (2016/17 rather than 2015/16).  This was agreed by Varun Venaik via email dated 22/07/2020.</t>
  </si>
  <si>
    <t>TIM neutral and Smart meter adjustments to Totex allowance</t>
  </si>
  <si>
    <t>May 2020 Publication</t>
  </si>
  <si>
    <t>R4</t>
  </si>
  <si>
    <t>Row 12 has been updated to reflect the latest Totex actuals in the 2019/20 RRP, including the impact of the pensions adjustments as discusssed above.</t>
  </si>
  <si>
    <t>Row 13 has been updated to reflect allowances per the 2019 PCFM.</t>
  </si>
  <si>
    <t xml:space="preserve">Row 22 has been updated to reflect changes to the Pensions Prepayment Enduring Value adjustments, as a result of the pensions adjustments discussed above. See commentary for more details, and details of additional Enduring Value adjustments added and previous Enduring Value adjustments removed. </t>
  </si>
  <si>
    <t xml:space="preserve">Row 79 has been updated to reflect allowances per the 2019 PCFM. This has a consequent impact on rows 86 and 88 of table R10. </t>
  </si>
  <si>
    <t xml:space="preserve">Cell D8 has been updated to exclude restricted cash, as required in the updated RIGs. The same adjustment has been made in cell D47. </t>
  </si>
  <si>
    <t xml:space="preserve">Closing RAV in row 11 has been updated to the latest published PCFM, as per the RIGs. </t>
  </si>
  <si>
    <t>R10</t>
  </si>
  <si>
    <t>R12</t>
  </si>
  <si>
    <t>Prior year adjustments to 2017, 2018 and 2019 have been made to pensions values, as highlighted to Ofgem and noted in email dated 23/07/2020. Further details can be found in the RFPR commentary. 
2017 = E35: -0.79, E36: +0.07 and +0.96. E54: -0.79, E55: +0.07
2018 = F35: +1.03, F36: -0.07 and -0.96. F54: +1.03, F55: -0.07
2019 = G35: -0.25, G36: +0.04. G54: -0.25</t>
  </si>
  <si>
    <t xml:space="preserve">Prior year adjustments to 2017, 2018 and 2019 have been made to pensions values in cells E8:G8, E10:G10 and E11:G11, as highlighted to Ofgem and noted in email dated 23/07/2020. Further details can be found in the RFPR commentary. 
</t>
  </si>
  <si>
    <t xml:space="preserve">Enduring Value adjustments in row 34 have been updated to reflect changes to Enduring Value adjustments in 2019/20. </t>
  </si>
  <si>
    <t xml:space="preserve">There has been a minor change to the names of the non-regulatory segments in cells B16 and B17 to reflect the segments defined by Ofgem for the Regulatory Accounts in previous years. </t>
  </si>
  <si>
    <t xml:space="preserve">RAV additions in row 19 and RAV depreciation in row 22 have been updated to reflect RAV additions based on the 2019/20 RRP submission. Values in rows 20 and 23 have also been updated to reflect 2019/20 Enduring Value adjustments. </t>
  </si>
  <si>
    <t xml:space="preserve">Tax allowance per the latest PCFM in row 61 has been updated to the 2019 PCFM values. Forecast tax allowance in row 67 has been updated to reflect the 2019/20 RRP submission. This change is then reflected in Other adjustments in row 74. </t>
  </si>
  <si>
    <t xml:space="preserve">Costs per the latest RRP submission in row 49 have been updated to the 2019/20 RRP submission. </t>
  </si>
  <si>
    <t>Additional Totex adjustment not in Reg Accounts</t>
  </si>
  <si>
    <t xml:space="preserve">Updated to reflect RRP resubmission - see change log for details. </t>
  </si>
  <si>
    <t xml:space="preserve">As a result of the changes above following the WPD RRP C&amp;V file resubmission to Ofgem, this has resulted in RoRE performance movements in 2019/20 and across forecast years associated with the impact on the RAV balances as described above. </t>
  </si>
  <si>
    <t>RFPR cover</t>
  </si>
  <si>
    <t xml:space="preserve">Version and Submitted date in cells C8 and C9 updated respectively to reflect this is a resubmission. </t>
  </si>
  <si>
    <t>Content &amp; Version Control</t>
  </si>
  <si>
    <t xml:space="preserve">Date submitted and changes in cells C10 and C10 updated respectively to reflect this is a resubmission. </t>
  </si>
  <si>
    <t>Cells B44 (text) and H44 (£0.5m) have been included and cell H49 has been updated (prev: £370.8m; now £371.3m) following a WPD RRP C&amp;V file resubmission to Ofgem which updated the cost allocation of Network Policy, a sub activity in table C9 Core CAI, between the four WPD DNOs. An additional reconciling item, "Additional Totex adjustment not in Reg Accounts", has therefore been added to reflect this in the Totex reconciliation.</t>
  </si>
  <si>
    <t>Cell H12 has been updated (from £226.0m to £226.4m) following a WPD RRP C&amp;V file resubmission to Ofgem which updated the cost allocation of Network Policy, a sub activity in table C9 Core CAI, between the four WPD DNOs. This has in turn updated the Totex out(under)performance for 2019/20 actuals.</t>
  </si>
  <si>
    <t xml:space="preserve">The value in cell H19 has been updated (from £202.9m to £203.0m) and I22:K22 have been updated (movement &lt; 1 d.p.) following a WPD RRP C&amp;V file resubmission to Ofgem which updated the cost allocation of Network Policy, a sub activity in table C9 Core CAI, between the four WPD DNOs. The RRP adjustment impacted Totex, which in turn impacts the RAV additions for 2019/20 and consequently depreciation for the following years. The impact of this will flow through to closing RAV and return calculations. </t>
  </si>
  <si>
    <t xml:space="preserve">As a result of the changes above following the WPD RRP C&amp;V file resubmission to Ofgem, the impact has flowed through to the forecast tax liability cell H37; forecast tax allowance cells H67:K67 and other adjustments cells H74:K74. Refreshing the tax workings as part of this process also resulted in a minor movement in cell J37 (movements all &lt; 1 d.p.). </t>
  </si>
  <si>
    <t>OK</t>
  </si>
  <si>
    <t>NOT PUBLISHED</t>
  </si>
  <si>
    <t>Updated in 13/10/2010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</si>
</sst>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1">
    <numFmt numFmtId="43" formatCode="_-* #,##0.00_-;\-* #,##0.00_-;_-* &quot;-&quot;??_-;_-@_-"/>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 numFmtId="352" formatCode="[$-F800]dddd\,\ mmmm\ dd\,\ yyyy"/>
    <numFmt numFmtId="353" formatCode="_-* #,##0.00000_-;\-* #,##0.00000_-;_-* &quot;-&quot;??_-;_-@_-"/>
  </numFmts>
  <fonts count="262">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s>
  <fills count="133">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
      <patternFill patternType="solid">
        <fgColor rgb="FFFFFF00"/>
        <bgColor indexed="64"/>
      </patternFill>
    </fill>
  </fills>
  <borders count="136">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2" fontId="4" fillId="0" borderId="0"/>
    <xf numFmtId="352" fontId="4" fillId="0" borderId="0"/>
    <xf numFmtId="352" fontId="7"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7" fillId="0" borderId="0"/>
    <xf numFmtId="352" fontId="4" fillId="0" borderId="0"/>
    <xf numFmtId="352" fontId="7" fillId="0" borderId="0"/>
    <xf numFmtId="352" fontId="4" fillId="0" borderId="0"/>
    <xf numFmtId="352" fontId="7"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lignment vertical="center"/>
    </xf>
    <xf numFmtId="352" fontId="7" fillId="0" borderId="0"/>
    <xf numFmtId="352" fontId="7" fillId="0" borderId="0"/>
    <xf numFmtId="352" fontId="7" fillId="0" borderId="0"/>
    <xf numFmtId="352" fontId="7" fillId="0" borderId="0"/>
    <xf numFmtId="352" fontId="4" fillId="0" borderId="0">
      <alignment vertical="center"/>
    </xf>
    <xf numFmtId="352" fontId="4" fillId="0" borderId="0">
      <alignment vertical="center"/>
    </xf>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7" fillId="0" borderId="0">
      <alignment vertical="justify"/>
    </xf>
    <xf numFmtId="352" fontId="13" fillId="30" borderId="0" applyNumberFormat="0" applyBorder="0" applyAlignment="0" applyProtection="0"/>
    <xf numFmtId="352" fontId="13" fillId="30"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7" borderId="0" applyNumberFormat="0" applyBorder="0" applyAlignment="0" applyProtection="0"/>
    <xf numFmtId="352" fontId="13" fillId="27" borderId="0" applyNumberFormat="0" applyBorder="0" applyAlignment="0" applyProtection="0"/>
    <xf numFmtId="352" fontId="13" fillId="119" borderId="0" applyNumberFormat="0" applyBorder="0" applyAlignment="0" applyProtection="0"/>
    <xf numFmtId="352" fontId="13" fillId="119" borderId="0" applyNumberFormat="0" applyBorder="0" applyAlignment="0" applyProtection="0"/>
    <xf numFmtId="352" fontId="13" fillId="30" borderId="0" applyNumberFormat="0" applyBorder="0" applyAlignment="0" applyProtection="0"/>
    <xf numFmtId="352" fontId="13" fillId="30"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13" fillId="61" borderId="0" applyNumberFormat="0" applyBorder="0" applyAlignment="0" applyProtection="0"/>
    <xf numFmtId="352" fontId="13" fillId="61"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6" borderId="0" applyNumberFormat="0" applyBorder="0" applyAlignment="0" applyProtection="0"/>
    <xf numFmtId="352" fontId="13" fillId="26" borderId="0" applyNumberFormat="0" applyBorder="0" applyAlignment="0" applyProtection="0"/>
    <xf numFmtId="352" fontId="13" fillId="120" borderId="0" applyNumberFormat="0" applyBorder="0" applyAlignment="0" applyProtection="0"/>
    <xf numFmtId="352" fontId="13" fillId="120" borderId="0" applyNumberFormat="0" applyBorder="0" applyAlignment="0" applyProtection="0"/>
    <xf numFmtId="352" fontId="13" fillId="31" borderId="0" applyNumberFormat="0" applyBorder="0" applyAlignment="0" applyProtection="0"/>
    <xf numFmtId="352" fontId="13" fillId="31"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19" borderId="0" applyNumberFormat="0" applyBorder="0" applyAlignment="0" applyProtection="0"/>
    <xf numFmtId="352" fontId="56" fillId="19" borderId="0" applyNumberFormat="0" applyBorder="0" applyAlignment="0" applyProtection="0"/>
    <xf numFmtId="352" fontId="56" fillId="26" borderId="0" applyNumberFormat="0" applyBorder="0" applyAlignment="0" applyProtection="0"/>
    <xf numFmtId="352" fontId="56" fillId="26" borderId="0" applyNumberFormat="0" applyBorder="0" applyAlignment="0" applyProtection="0"/>
    <xf numFmtId="352" fontId="56" fillId="120" borderId="0" applyNumberFormat="0" applyBorder="0" applyAlignment="0" applyProtection="0"/>
    <xf numFmtId="352" fontId="56" fillId="12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23" borderId="0" applyNumberFormat="0" applyBorder="0" applyAlignment="0" applyProtection="0"/>
    <xf numFmtId="352" fontId="56" fillId="23" borderId="0" applyNumberFormat="0" applyBorder="0" applyAlignment="0" applyProtection="0"/>
    <xf numFmtId="352" fontId="8" fillId="65" borderId="0" applyNumberFormat="0" applyBorder="0" applyAlignment="0" applyProtection="0"/>
    <xf numFmtId="352" fontId="8" fillId="12" borderId="0" applyNumberFormat="0" applyBorder="0" applyAlignment="0" applyProtection="0"/>
    <xf numFmtId="352" fontId="9" fillId="122" borderId="0" applyNumberFormat="0" applyBorder="0" applyAlignment="0" applyProtection="0"/>
    <xf numFmtId="352" fontId="9" fillId="66" borderId="0" applyNumberFormat="0" applyBorder="0" applyAlignment="0" applyProtection="0"/>
    <xf numFmtId="352" fontId="9" fillId="66" borderId="0" applyNumberFormat="0" applyBorder="0" applyAlignment="0" applyProtection="0"/>
    <xf numFmtId="352" fontId="8" fillId="68" borderId="0" applyNumberFormat="0" applyBorder="0" applyAlignment="0" applyProtection="0"/>
    <xf numFmtId="352" fontId="8" fillId="11" borderId="0" applyNumberFormat="0" applyBorder="0" applyAlignment="0" applyProtection="0"/>
    <xf numFmtId="352" fontId="9" fillId="8" borderId="0" applyNumberFormat="0" applyBorder="0" applyAlignment="0" applyProtection="0"/>
    <xf numFmtId="352" fontId="9" fillId="69" borderId="0" applyNumberFormat="0" applyBorder="0" applyAlignment="0" applyProtection="0"/>
    <xf numFmtId="352" fontId="9" fillId="69" borderId="0" applyNumberFormat="0" applyBorder="0" applyAlignment="0" applyProtection="0"/>
    <xf numFmtId="352" fontId="8" fillId="70" borderId="0" applyNumberFormat="0" applyBorder="0" applyAlignment="0" applyProtection="0"/>
    <xf numFmtId="352" fontId="8" fillId="71" borderId="0" applyNumberFormat="0" applyBorder="0" applyAlignment="0" applyProtection="0"/>
    <xf numFmtId="352" fontId="9" fillId="123" borderId="0" applyNumberFormat="0" applyBorder="0" applyAlignment="0" applyProtection="0"/>
    <xf numFmtId="352" fontId="9" fillId="124" borderId="0" applyNumberFormat="0" applyBorder="0" applyAlignment="0" applyProtection="0"/>
    <xf numFmtId="352" fontId="9" fillId="124" borderId="0" applyNumberFormat="0" applyBorder="0" applyAlignment="0" applyProtection="0"/>
    <xf numFmtId="352" fontId="8" fillId="68" borderId="0" applyNumberFormat="0" applyBorder="0" applyAlignment="0" applyProtection="0"/>
    <xf numFmtId="352" fontId="8" fillId="9" borderId="0" applyNumberFormat="0" applyBorder="0" applyAlignment="0" applyProtection="0"/>
    <xf numFmtId="352" fontId="9" fillId="11" borderId="0" applyNumberFormat="0" applyBorder="0" applyAlignment="0" applyProtection="0"/>
    <xf numFmtId="352" fontId="9" fillId="125" borderId="0" applyNumberFormat="0" applyBorder="0" applyAlignment="0" applyProtection="0"/>
    <xf numFmtId="352" fontId="9" fillId="125" borderId="0" applyNumberFormat="0" applyBorder="0" applyAlignment="0" applyProtection="0"/>
    <xf numFmtId="352" fontId="8" fillId="10" borderId="0" applyNumberFormat="0" applyBorder="0" applyAlignment="0" applyProtection="0"/>
    <xf numFmtId="352" fontId="8" fillId="5"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8" fillId="13" borderId="0" applyNumberFormat="0" applyBorder="0" applyAlignment="0" applyProtection="0"/>
    <xf numFmtId="352" fontId="8" fillId="14" borderId="0" applyNumberFormat="0" applyBorder="0" applyAlignment="0" applyProtection="0"/>
    <xf numFmtId="352" fontId="9" fillId="126" borderId="0" applyNumberFormat="0" applyBorder="0" applyAlignment="0" applyProtection="0"/>
    <xf numFmtId="352" fontId="9" fillId="127" borderId="0" applyNumberFormat="0" applyBorder="0" applyAlignment="0" applyProtection="0"/>
    <xf numFmtId="352" fontId="9" fillId="127" borderId="0" applyNumberFormat="0" applyBorder="0" applyAlignment="0" applyProtection="0"/>
    <xf numFmtId="352" fontId="247" fillId="13" borderId="0" applyNumberFormat="0" applyBorder="0" applyAlignment="0" applyProtection="0"/>
    <xf numFmtId="352" fontId="247" fillId="13" borderId="0" applyNumberFormat="0" applyBorder="0" applyAlignment="0" applyProtection="0"/>
    <xf numFmtId="352" fontId="248" fillId="128" borderId="123" applyNumberFormat="0" applyAlignment="0" applyProtection="0"/>
    <xf numFmtId="352" fontId="248" fillId="128" borderId="123" applyNumberFormat="0" applyAlignment="0" applyProtection="0"/>
    <xf numFmtId="352" fontId="85" fillId="125" borderId="19" applyNumberFormat="0" applyAlignment="0" applyProtection="0"/>
    <xf numFmtId="352" fontId="85" fillId="125" borderId="19" applyNumberFormat="0" applyAlignment="0" applyProtection="0"/>
    <xf numFmtId="37" fontId="59" fillId="0" borderId="94">
      <alignment horizontal="center"/>
    </xf>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10" fillId="129" borderId="0" applyNumberFormat="0" applyBorder="0" applyAlignment="0" applyProtection="0"/>
    <xf numFmtId="352" fontId="10" fillId="130" borderId="0" applyNumberFormat="0" applyBorder="0" applyAlignment="0" applyProtection="0"/>
    <xf numFmtId="352" fontId="10" fillId="17" borderId="0" applyNumberFormat="0" applyBorder="0" applyAlignment="0" applyProtection="0"/>
    <xf numFmtId="352" fontId="44" fillId="0" borderId="0" applyFont="0" applyFill="0" applyBorder="0" applyAlignment="0" applyProtection="0"/>
    <xf numFmtId="352" fontId="249" fillId="0" borderId="0" applyNumberFormat="0" applyFill="0" applyBorder="0" applyAlignment="0" applyProtection="0"/>
    <xf numFmtId="352" fontId="249" fillId="0" borderId="0" applyNumberFormat="0" applyFill="0" applyBorder="0" applyAlignment="0" applyProtection="0"/>
    <xf numFmtId="352" fontId="8" fillId="71" borderId="0" applyNumberFormat="0" applyBorder="0" applyAlignment="0" applyProtection="0"/>
    <xf numFmtId="352" fontId="8" fillId="71" borderId="0" applyNumberForma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117" fillId="0" borderId="33" applyNumberFormat="0" applyFill="0" applyAlignment="0" applyProtection="0"/>
    <xf numFmtId="352" fontId="117" fillId="0" borderId="33" applyNumberFormat="0" applyFill="0" applyAlignment="0" applyProtection="0"/>
    <xf numFmtId="352" fontId="120" fillId="0" borderId="124" applyNumberFormat="0" applyFill="0" applyAlignment="0" applyProtection="0"/>
    <xf numFmtId="352" fontId="120" fillId="0" borderId="124" applyNumberFormat="0" applyFill="0" applyAlignment="0" applyProtection="0"/>
    <xf numFmtId="352" fontId="123" fillId="0" borderId="125" applyNumberFormat="0" applyFill="0" applyAlignment="0" applyProtection="0"/>
    <xf numFmtId="352" fontId="123" fillId="0" borderId="125" applyNumberFormat="0" applyFill="0" applyAlignment="0" applyProtection="0"/>
    <xf numFmtId="352" fontId="123" fillId="0" borderId="0" applyNumberFormat="0" applyFill="0" applyBorder="0" applyAlignment="0" applyProtection="0"/>
    <xf numFmtId="352" fontId="123" fillId="0" borderId="0" applyNumberFormat="0" applyFill="0" applyBorder="0" applyAlignment="0" applyProtection="0"/>
    <xf numFmtId="352" fontId="137" fillId="14" borderId="123" applyNumberFormat="0" applyAlignment="0" applyProtection="0"/>
    <xf numFmtId="352" fontId="137" fillId="14" borderId="123" applyNumberFormat="0" applyAlignment="0" applyProtection="0"/>
    <xf numFmtId="352" fontId="140" fillId="34" borderId="0"/>
    <xf numFmtId="352" fontId="113" fillId="0" borderId="126" applyNumberFormat="0" applyFill="0" applyAlignment="0" applyProtection="0"/>
    <xf numFmtId="352" fontId="113" fillId="0" borderId="126" applyNumberFormat="0" applyFill="0" applyAlignment="0" applyProtection="0"/>
    <xf numFmtId="352" fontId="113" fillId="14" borderId="0" applyNumberFormat="0" applyBorder="0" applyAlignment="0" applyProtection="0"/>
    <xf numFmtId="352" fontId="113" fillId="14" borderId="0" applyNumberFormat="0" applyBorder="0" applyAlignment="0" applyProtection="0"/>
    <xf numFmtId="352" fontId="19" fillId="0" borderId="0"/>
    <xf numFmtId="352" fontId="19" fillId="0" borderId="0"/>
    <xf numFmtId="352" fontId="19" fillId="0" borderId="0"/>
    <xf numFmtId="352" fontId="19" fillId="0" borderId="0"/>
    <xf numFmtId="352" fontId="19" fillId="0" borderId="0"/>
    <xf numFmtId="352" fontId="4" fillId="0" borderId="0"/>
    <xf numFmtId="352" fontId="4" fillId="0" borderId="0"/>
    <xf numFmtId="352" fontId="4" fillId="0" borderId="0"/>
    <xf numFmtId="352" fontId="4" fillId="0" borderId="0"/>
    <xf numFmtId="0" fontId="2"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xf numFmtId="352" fontId="8" fillId="0" borderId="0" applyFill="0" applyBorder="0" applyAlignment="0" applyProtection="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2"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23" fillId="0" borderId="0"/>
    <xf numFmtId="352" fontId="1" fillId="0" borderId="0"/>
    <xf numFmtId="352" fontId="4"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1" fillId="0" borderId="0"/>
    <xf numFmtId="352" fontId="1" fillId="0" borderId="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8" fillId="0" borderId="0" applyFill="0" applyBorder="0" applyAlignment="0" applyProtection="0"/>
    <xf numFmtId="352" fontId="19"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7" fillId="0" borderId="0">
      <alignment vertical="top"/>
    </xf>
    <xf numFmtId="352" fontId="101" fillId="0" borderId="0" applyFill="0" applyBorder="0">
      <protection locked="0"/>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2" fontId="192" fillId="0" borderId="0"/>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30"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9" borderId="30">
      <alignment horizontal="right" vertical="center"/>
      <protection locked="0"/>
    </xf>
    <xf numFmtId="352"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3" borderId="53" applyNumberFormat="0">
      <protection locked="0"/>
    </xf>
    <xf numFmtId="352" fontId="4" fillId="33" borderId="30"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88" fillId="31" borderId="130" applyBorder="0"/>
    <xf numFmtId="4" fontId="252" fillId="34" borderId="128" applyNumberFormat="0" applyProtection="0">
      <alignment vertical="center"/>
    </xf>
    <xf numFmtId="4" fontId="250" fillId="36" borderId="30"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52" fontId="48" fillId="109" borderId="30"/>
    <xf numFmtId="4" fontId="254" fillId="33" borderId="123" applyNumberFormat="0" applyProtection="0">
      <alignment horizontal="right" vertical="center"/>
    </xf>
    <xf numFmtId="352" fontId="18" fillId="0" borderId="0" applyNumberFormat="0" applyFill="0" applyBorder="0" applyAlignment="0" applyProtection="0"/>
    <xf numFmtId="352" fontId="4" fillId="0" borderId="0" applyFont="0" applyFill="0" applyBorder="0" applyAlignment="0" applyProtection="0"/>
    <xf numFmtId="37" fontId="59" fillId="0" borderId="131" applyNumberFormat="0"/>
    <xf numFmtId="352" fontId="220" fillId="0" borderId="58" applyNumberFormat="0" applyAlignment="0" applyProtection="0"/>
    <xf numFmtId="352" fontId="18" fillId="0" borderId="0" applyNumberFormat="0" applyFill="0" applyBorder="0" applyAlignment="0" applyProtection="0"/>
    <xf numFmtId="352" fontId="18" fillId="0" borderId="0" applyNumberFormat="0" applyFill="0" applyBorder="0" applyAlignment="0" applyProtection="0"/>
    <xf numFmtId="210" fontId="59" fillId="0" borderId="32" applyFill="0"/>
    <xf numFmtId="352" fontId="10" fillId="0" borderId="132" applyNumberFormat="0" applyFill="0" applyAlignment="0" applyProtection="0"/>
    <xf numFmtId="352" fontId="10" fillId="0" borderId="132" applyNumberFormat="0" applyFill="0" applyAlignment="0" applyProtection="0"/>
    <xf numFmtId="352" fontId="255" fillId="0" borderId="0" applyNumberFormat="0" applyFill="0" applyBorder="0" applyAlignment="0" applyProtection="0"/>
    <xf numFmtId="352" fontId="255" fillId="0" borderId="0" applyNumberFormat="0" applyFill="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210" fontId="59" fillId="0" borderId="32" applyFill="0"/>
    <xf numFmtId="352" fontId="23"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3" fillId="0" borderId="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3" applyNumberFormat="0" applyProtection="0">
      <alignment horizontal="left" vertical="center" indent="1"/>
    </xf>
    <xf numFmtId="210" fontId="59" fillId="0" borderId="32" applyFill="0"/>
    <xf numFmtId="352" fontId="248" fillId="128" borderId="123" applyNumberFormat="0" applyAlignment="0" applyProtection="0"/>
    <xf numFmtId="352" fontId="248" fillId="128" borderId="123" applyNumberForma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164" fontId="2" fillId="0" borderId="0" applyFont="0" applyFill="0" applyBorder="0" applyAlignment="0" applyProtection="0"/>
    <xf numFmtId="352" fontId="48" fillId="30" borderId="128" applyNumberFormat="0" applyProtection="0">
      <alignment horizontal="left" vertical="top" indent="1"/>
    </xf>
    <xf numFmtId="164" fontId="1" fillId="0" borderId="0" applyFont="0" applyFill="0" applyBorder="0" applyAlignment="0" applyProtection="0"/>
    <xf numFmtId="352" fontId="88" fillId="31" borderId="130" applyBorder="0"/>
    <xf numFmtId="4" fontId="48" fillId="24" borderId="123" applyNumberFormat="0" applyProtection="0">
      <alignment horizontal="right" vertical="center"/>
    </xf>
    <xf numFmtId="352" fontId="48" fillId="13" borderId="123" applyNumberFormat="0" applyFont="0" applyAlignment="0" applyProtection="0"/>
    <xf numFmtId="4" fontId="48" fillId="19" borderId="129" applyNumberFormat="0" applyProtection="0">
      <alignment horizontal="left" vertical="center" indent="1"/>
    </xf>
    <xf numFmtId="4" fontId="48" fillId="25" borderId="123" applyNumberFormat="0" applyProtection="0">
      <alignment horizontal="right" vertical="center"/>
    </xf>
    <xf numFmtId="352" fontId="48" fillId="61" borderId="123" applyNumberFormat="0" applyProtection="0">
      <alignment horizontal="left" vertical="center" indent="1"/>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34" borderId="128" applyNumberFormat="0" applyProtection="0">
      <alignment vertical="center"/>
    </xf>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210" fontId="59" fillId="0" borderId="32" applyFill="0"/>
    <xf numFmtId="352" fontId="48" fillId="83" borderId="123" applyNumberFormat="0" applyProtection="0">
      <alignment horizontal="left" vertical="center" indent="1"/>
    </xf>
    <xf numFmtId="4" fontId="48" fillId="23" borderId="123" applyNumberFormat="0" applyProtection="0">
      <alignment horizontal="right" vertical="center"/>
    </xf>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164" fontId="8" fillId="0" borderId="0" applyFont="0" applyFill="0" applyBorder="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1" borderId="128"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4" fontId="48" fillId="26" borderId="123" applyNumberFormat="0" applyProtection="0">
      <alignment horizontal="right" vertical="center"/>
    </xf>
    <xf numFmtId="210" fontId="59" fillId="0" borderId="32" applyFill="0"/>
    <xf numFmtId="352" fontId="48" fillId="83" borderId="123" applyNumberFormat="0" applyProtection="0">
      <alignment horizontal="left" vertical="center" indent="1"/>
    </xf>
    <xf numFmtId="4" fontId="48" fillId="24" borderId="123" applyNumberFormat="0" applyProtection="0">
      <alignment horizontal="right" vertical="center"/>
    </xf>
    <xf numFmtId="4" fontId="48" fillId="2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48" fillId="61" borderId="123" applyNumberFormat="0" applyProtection="0">
      <alignment horizontal="left" vertical="center" indent="1"/>
    </xf>
    <xf numFmtId="4" fontId="48" fillId="19" borderId="123" applyNumberFormat="0" applyProtection="0">
      <alignment horizontal="right" vertical="center"/>
    </xf>
    <xf numFmtId="4" fontId="48" fillId="28" borderId="123" applyNumberFormat="0" applyProtection="0">
      <alignment horizontal="right" vertical="center"/>
    </xf>
    <xf numFmtId="4" fontId="48" fillId="27"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61" borderId="128" applyNumberFormat="0" applyProtection="0">
      <alignment horizontal="left" vertical="center" indent="1"/>
    </xf>
    <xf numFmtId="210" fontId="59" fillId="0" borderId="32" applyFill="0"/>
    <xf numFmtId="352" fontId="48" fillId="30" borderId="128" applyNumberFormat="0" applyProtection="0">
      <alignment horizontal="left" vertical="top" indent="1"/>
    </xf>
    <xf numFmtId="352" fontId="252"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7" borderId="123" applyNumberFormat="0" applyProtection="0">
      <alignment horizontal="right" vertical="center"/>
    </xf>
    <xf numFmtId="352" fontId="48" fillId="19" borderId="128" applyNumberFormat="0" applyProtection="0">
      <alignment horizontal="left" vertical="top" indent="1"/>
    </xf>
    <xf numFmtId="164" fontId="7" fillId="0" borderId="0" applyFont="0" applyFill="0" applyBorder="0" applyAlignment="0" applyProtection="0"/>
    <xf numFmtId="352" fontId="48" fillId="19"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48" fillId="32" borderId="128" applyNumberFormat="0" applyProtection="0">
      <alignment horizontal="left" vertical="top" indent="1"/>
    </xf>
    <xf numFmtId="352" fontId="10" fillId="0" borderId="132" applyNumberFormat="0" applyFill="0" applyAlignment="0" applyProtection="0"/>
    <xf numFmtId="352" fontId="10" fillId="0" borderId="132" applyNumberFormat="0" applyFill="0" applyAlignment="0" applyProtection="0"/>
    <xf numFmtId="4" fontId="48" fillId="28" borderId="123" applyNumberFormat="0" applyProtection="0">
      <alignment horizontal="right" vertical="center"/>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251" fillId="18" borderId="128" applyNumberFormat="0" applyProtection="0">
      <alignment horizontal="left" vertical="top" indent="1"/>
    </xf>
    <xf numFmtId="352" fontId="48" fillId="13" borderId="123" applyNumberFormat="0" applyFont="0" applyAlignment="0" applyProtection="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4" fontId="48" fillId="25"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7" borderId="123" applyNumberFormat="0" applyProtection="0">
      <alignment horizontal="right" vertical="center"/>
    </xf>
    <xf numFmtId="4" fontId="48" fillId="25" borderId="123" applyNumberFormat="0" applyProtection="0">
      <alignment horizontal="right" vertical="center"/>
    </xf>
    <xf numFmtId="352" fontId="179" fillId="128" borderId="127" applyNumberFormat="0" applyAlignment="0" applyProtection="0"/>
    <xf numFmtId="352" fontId="48" fillId="61" borderId="123" applyNumberFormat="0" applyProtection="0">
      <alignment horizontal="left" vertical="center" indent="1"/>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18" borderId="123" applyNumberFormat="0" applyProtection="0">
      <alignment vertical="center"/>
    </xf>
    <xf numFmtId="4" fontId="48" fillId="24" borderId="123" applyNumberFormat="0" applyProtection="0">
      <alignment horizontal="right" vertical="center"/>
    </xf>
    <xf numFmtId="4" fontId="250" fillId="45" borderId="123" applyNumberFormat="0" applyProtection="0">
      <alignment vertical="center"/>
    </xf>
    <xf numFmtId="164" fontId="7" fillId="0" borderId="0" applyFont="0" applyFill="0" applyBorder="0" applyAlignment="0" applyProtection="0"/>
    <xf numFmtId="352" fontId="137" fillId="14" borderId="123" applyNumberFormat="0" applyAlignment="0" applyProtection="0"/>
    <xf numFmtId="352" fontId="48" fillId="61"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4" fontId="250" fillId="45" borderId="123" applyNumberFormat="0" applyProtection="0">
      <alignment vertical="center"/>
    </xf>
    <xf numFmtId="164" fontId="7" fillId="0" borderId="0" applyFont="0" applyFill="0" applyBorder="0" applyAlignment="0" applyProtection="0"/>
    <xf numFmtId="4" fontId="48" fillId="19" borderId="123" applyNumberFormat="0" applyProtection="0">
      <alignment horizontal="right" vertical="center"/>
    </xf>
    <xf numFmtId="4" fontId="48" fillId="18" borderId="123" applyNumberFormat="0" applyProtection="0">
      <alignment vertical="center"/>
    </xf>
    <xf numFmtId="4" fontId="48" fillId="18" borderId="123" applyNumberFormat="0" applyProtection="0">
      <alignment vertical="center"/>
    </xf>
    <xf numFmtId="4" fontId="48" fillId="19" borderId="123" applyNumberFormat="0" applyProtection="0">
      <alignment horizontal="right" vertical="center"/>
    </xf>
    <xf numFmtId="4" fontId="48" fillId="23"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352" fontId="48" fillId="32" borderId="123" applyNumberFormat="0" applyProtection="0">
      <alignment horizontal="left" vertical="center" indent="1"/>
    </xf>
    <xf numFmtId="352" fontId="48" fillId="13" borderId="123" applyNumberFormat="0" applyFont="0" applyAlignment="0" applyProtection="0"/>
    <xf numFmtId="352" fontId="88" fillId="31" borderId="130" applyBorder="0"/>
    <xf numFmtId="352" fontId="10" fillId="0" borderId="132" applyNumberFormat="0" applyFill="0" applyAlignment="0" applyProtection="0"/>
    <xf numFmtId="164" fontId="7" fillId="0" borderId="0" applyFont="0" applyFill="0" applyBorder="0" applyAlignment="0" applyProtection="0"/>
    <xf numFmtId="352" fontId="248" fillId="128" borderId="123" applyNumberFormat="0" applyAlignment="0" applyProtection="0"/>
    <xf numFmtId="4" fontId="48" fillId="24" borderId="123" applyNumberFormat="0" applyProtection="0">
      <alignment horizontal="right" vertical="center"/>
    </xf>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252" fillId="19"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4" fontId="250" fillId="45" borderId="123" applyNumberFormat="0" applyProtection="0">
      <alignment vertical="center"/>
    </xf>
    <xf numFmtId="352" fontId="48" fillId="83" borderId="123" applyNumberFormat="0" applyProtection="0">
      <alignment horizontal="left" vertical="center" indent="1"/>
    </xf>
    <xf numFmtId="37" fontId="59" fillId="0" borderId="131" applyNumberFormat="0"/>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131" borderId="123" applyNumberFormat="0" applyProtection="0">
      <alignment horizontal="right" vertical="center"/>
    </xf>
    <xf numFmtId="4" fontId="48" fillId="64" borderId="123" applyNumberFormat="0" applyProtection="0">
      <alignment horizontal="left" vertical="center" indent="1"/>
    </xf>
    <xf numFmtId="4" fontId="250" fillId="45" borderId="123" applyNumberFormat="0" applyProtection="0">
      <alignment vertical="center"/>
    </xf>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164" fontId="7" fillId="0" borderId="0" applyFont="0" applyFill="0" applyBorder="0" applyAlignment="0" applyProtection="0"/>
    <xf numFmtId="4" fontId="48" fillId="64" borderId="123" applyNumberFormat="0" applyProtection="0">
      <alignment horizontal="left" vertical="center" indent="1"/>
    </xf>
    <xf numFmtId="4" fontId="252" fillId="61" borderId="128" applyNumberFormat="0" applyProtection="0">
      <alignment horizontal="left" vertical="center" indent="1"/>
    </xf>
    <xf numFmtId="4" fontId="48" fillId="26" borderId="123" applyNumberFormat="0" applyProtection="0">
      <alignment horizontal="right" vertical="center"/>
    </xf>
    <xf numFmtId="4" fontId="48" fillId="24" borderId="123" applyNumberFormat="0" applyProtection="0">
      <alignment horizontal="right" vertical="center"/>
    </xf>
    <xf numFmtId="352" fontId="248" fillId="128" borderId="123"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2" fontId="48" fillId="30" borderId="128" applyNumberFormat="0" applyProtection="0">
      <alignment horizontal="left" vertical="top" indent="1"/>
    </xf>
    <xf numFmtId="4" fontId="250" fillId="45" borderId="123" applyNumberFormat="0" applyProtection="0">
      <alignment vertical="center"/>
    </xf>
    <xf numFmtId="4" fontId="48" fillId="20" borderId="123" applyNumberFormat="0" applyProtection="0">
      <alignment horizontal="right" vertical="center"/>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7" borderId="123" applyNumberFormat="0" applyProtection="0">
      <alignment horizontal="right" vertical="center"/>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3" applyNumberFormat="0" applyProtection="0">
      <alignment horizontal="left" vertical="center"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179" fillId="128" borderId="127" applyNumberFormat="0" applyAlignment="0" applyProtection="0"/>
    <xf numFmtId="4" fontId="48" fillId="19" borderId="123" applyNumberFormat="0" applyProtection="0">
      <alignment horizontal="right" vertical="center"/>
    </xf>
    <xf numFmtId="164" fontId="2" fillId="0" borderId="0" applyFont="0" applyFill="0" applyBorder="0" applyAlignment="0" applyProtection="0"/>
    <xf numFmtId="4" fontId="48" fillId="23" borderId="123" applyNumberFormat="0" applyProtection="0">
      <alignment horizontal="right" vertical="center"/>
    </xf>
    <xf numFmtId="352" fontId="4" fillId="19" borderId="128" applyNumberFormat="0" applyProtection="0">
      <alignment horizontal="left" vertical="top" indent="1"/>
    </xf>
    <xf numFmtId="352" fontId="137" fillId="14" borderId="123" applyNumberFormat="0" applyAlignment="0" applyProtection="0"/>
    <xf numFmtId="352" fontId="10" fillId="0" borderId="132" applyNumberFormat="0" applyFill="0" applyAlignment="0" applyProtection="0"/>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45" borderId="123" applyNumberFormat="0" applyProtection="0">
      <alignment horizontal="left" vertical="center"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179" fillId="128" borderId="127" applyNumberFormat="0" applyAlignment="0" applyProtection="0"/>
    <xf numFmtId="4" fontId="252" fillId="34" borderId="128" applyNumberFormat="0" applyProtection="0">
      <alignment vertical="center"/>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352" fontId="48" fillId="30" borderId="123" applyNumberFormat="0" applyProtection="0">
      <alignment horizontal="left" vertical="center" indent="1"/>
    </xf>
    <xf numFmtId="4" fontId="48" fillId="20" borderId="123" applyNumberFormat="0" applyProtection="0">
      <alignment horizontal="right" vertical="center"/>
    </xf>
    <xf numFmtId="4" fontId="48" fillId="0" borderId="123" applyNumberFormat="0" applyProtection="0">
      <alignment horizontal="right" vertical="center"/>
    </xf>
    <xf numFmtId="210" fontId="59" fillId="0" borderId="32" applyFill="0"/>
    <xf numFmtId="352" fontId="48" fillId="13" borderId="123" applyNumberFormat="0" applyFont="0" applyAlignment="0" applyProtection="0"/>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3" borderId="123" applyNumberFormat="0" applyFont="0" applyAlignment="0" applyProtection="0"/>
    <xf numFmtId="4" fontId="48" fillId="24" borderId="123" applyNumberFormat="0" applyProtection="0">
      <alignment horizontal="right" vertical="center"/>
    </xf>
    <xf numFmtId="352" fontId="48" fillId="32" borderId="128" applyNumberFormat="0" applyProtection="0">
      <alignment horizontal="left" vertical="top"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248" fillId="128" borderId="123" applyNumberFormat="0" applyAlignment="0" applyProtection="0"/>
    <xf numFmtId="4" fontId="252" fillId="61" borderId="128" applyNumberFormat="0" applyProtection="0">
      <alignment horizontal="left" vertical="center" indent="1"/>
    </xf>
    <xf numFmtId="352" fontId="10" fillId="0" borderId="132" applyNumberFormat="0" applyFill="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248" fillId="128" borderId="123" applyNumberFormat="0" applyAlignment="0" applyProtection="0"/>
    <xf numFmtId="4" fontId="254" fillId="33" borderId="123" applyNumberFormat="0" applyProtection="0">
      <alignment horizontal="right" vertical="center"/>
    </xf>
    <xf numFmtId="352" fontId="88" fillId="31" borderId="130" applyBorder="0"/>
    <xf numFmtId="352" fontId="48" fillId="13" borderId="123" applyNumberFormat="0" applyFont="0" applyAlignment="0" applyProtection="0"/>
    <xf numFmtId="4" fontId="48" fillId="64" borderId="123" applyNumberFormat="0" applyProtection="0">
      <alignment horizontal="left" vertical="center"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3" borderId="123" applyNumberFormat="0" applyFont="0" applyAlignment="0" applyProtection="0"/>
    <xf numFmtId="352" fontId="179" fillId="128" borderId="127" applyNumberFormat="0" applyAlignment="0" applyProtection="0"/>
    <xf numFmtId="4" fontId="48" fillId="20" borderId="123" applyNumberFormat="0" applyProtection="0">
      <alignment horizontal="right" vertical="center"/>
    </xf>
    <xf numFmtId="352" fontId="48" fillId="31" borderId="128" applyNumberFormat="0" applyProtection="0">
      <alignment horizontal="left" vertical="top" indent="1"/>
    </xf>
    <xf numFmtId="352" fontId="88" fillId="31" borderId="130" applyBorder="0"/>
    <xf numFmtId="4" fontId="48" fillId="28"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48" fillId="26" borderId="123" applyNumberFormat="0" applyProtection="0">
      <alignment horizontal="right" vertical="center"/>
    </xf>
    <xf numFmtId="352" fontId="48" fillId="32" borderId="128" applyNumberFormat="0" applyProtection="0">
      <alignment horizontal="left" vertical="top" indent="1"/>
    </xf>
    <xf numFmtId="352" fontId="4" fillId="32" borderId="128" applyNumberFormat="0" applyProtection="0">
      <alignment horizontal="left" vertical="center" indent="1"/>
    </xf>
    <xf numFmtId="4" fontId="48" fillId="0" borderId="123" applyNumberFormat="0" applyProtection="0">
      <alignment horizontal="right" vertical="center"/>
    </xf>
    <xf numFmtId="352" fontId="48" fillId="19" borderId="128" applyNumberFormat="0" applyProtection="0">
      <alignment horizontal="left" vertical="top" indent="1"/>
    </xf>
    <xf numFmtId="352" fontId="248" fillId="128" borderId="123" applyNumberFormat="0" applyAlignment="0" applyProtection="0"/>
    <xf numFmtId="352" fontId="137" fillId="14" borderId="123" applyNumberFormat="0" applyAlignment="0" applyProtection="0"/>
    <xf numFmtId="4" fontId="48" fillId="45" borderId="123" applyNumberFormat="0" applyProtection="0">
      <alignment horizontal="left" vertical="center" indent="1"/>
    </xf>
    <xf numFmtId="4" fontId="252" fillId="61" borderId="128" applyNumberFormat="0" applyProtection="0">
      <alignment horizontal="left" vertical="center" indent="1"/>
    </xf>
    <xf numFmtId="4" fontId="48" fillId="28" borderId="123" applyNumberFormat="0" applyProtection="0">
      <alignment horizontal="right" vertical="center"/>
    </xf>
    <xf numFmtId="4" fontId="250" fillId="5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4" fillId="33"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0"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352" fontId="248" fillId="128" borderId="123" applyNumberFormat="0" applyAlignment="0" applyProtection="0"/>
    <xf numFmtId="352" fontId="252" fillId="34" borderId="128" applyNumberFormat="0" applyProtection="0">
      <alignment horizontal="left" vertical="top" indent="1"/>
    </xf>
    <xf numFmtId="352" fontId="4" fillId="30" borderId="128" applyNumberFormat="0" applyProtection="0">
      <alignment horizontal="left" vertical="center" indent="1"/>
    </xf>
    <xf numFmtId="4" fontId="254" fillId="33" borderId="123" applyNumberFormat="0" applyProtection="0">
      <alignment horizontal="right" vertical="center"/>
    </xf>
    <xf numFmtId="352" fontId="48" fillId="30" borderId="123" applyNumberFormat="0" applyProtection="0">
      <alignment horizontal="left" vertical="center" indent="1"/>
    </xf>
    <xf numFmtId="352" fontId="48" fillId="83" borderId="123" applyNumberFormat="0" applyProtection="0">
      <alignment horizontal="left" vertical="center" indent="1"/>
    </xf>
    <xf numFmtId="4" fontId="48" fillId="20" borderId="123" applyNumberFormat="0" applyProtection="0">
      <alignment horizontal="right" vertical="center"/>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13" borderId="123" applyNumberFormat="0" applyFont="0" applyAlignment="0" applyProtection="0"/>
    <xf numFmtId="4" fontId="48" fillId="23" borderId="123" applyNumberFormat="0" applyProtection="0">
      <alignment horizontal="right" vertical="center"/>
    </xf>
    <xf numFmtId="352" fontId="48" fillId="32" borderId="123" applyNumberFormat="0" applyProtection="0">
      <alignment horizontal="left" vertical="center" indent="1"/>
    </xf>
    <xf numFmtId="352" fontId="48" fillId="30" borderId="128" applyNumberFormat="0" applyProtection="0">
      <alignment horizontal="left" vertical="top" indent="1"/>
    </xf>
    <xf numFmtId="4" fontId="48" fillId="19" borderId="123" applyNumberFormat="0" applyProtection="0">
      <alignment horizontal="right" vertical="center"/>
    </xf>
    <xf numFmtId="352" fontId="252" fillId="34"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248" fillId="128" borderId="123" applyNumberFormat="0" applyAlignment="0" applyProtection="0"/>
    <xf numFmtId="352" fontId="48" fillId="31" borderId="128" applyNumberFormat="0" applyProtection="0">
      <alignment horizontal="left" vertical="top" indent="1"/>
    </xf>
    <xf numFmtId="352" fontId="48" fillId="32" borderId="128" applyNumberFormat="0" applyProtection="0">
      <alignment horizontal="left" vertical="top" indent="1"/>
    </xf>
    <xf numFmtId="4" fontId="252" fillId="34" borderId="128" applyNumberFormat="0" applyProtection="0">
      <alignment vertical="center"/>
    </xf>
    <xf numFmtId="37" fontId="59" fillId="0" borderId="131" applyNumberFormat="0"/>
    <xf numFmtId="352" fontId="48" fillId="13" borderId="123" applyNumberFormat="0" applyFont="0" applyAlignment="0" applyProtection="0"/>
    <xf numFmtId="352" fontId="48" fillId="31" borderId="128" applyNumberFormat="0" applyProtection="0">
      <alignment horizontal="left" vertical="top" indent="1"/>
    </xf>
    <xf numFmtId="4" fontId="48" fillId="20" borderId="123" applyNumberFormat="0" applyProtection="0">
      <alignment horizontal="right" vertical="center"/>
    </xf>
    <xf numFmtId="352" fontId="137" fillId="14" borderId="123" applyNumberFormat="0" applyAlignment="0" applyProtection="0"/>
    <xf numFmtId="4" fontId="250" fillId="50" borderId="123" applyNumberFormat="0" applyProtection="0">
      <alignment horizontal="right" vertical="center"/>
    </xf>
    <xf numFmtId="352" fontId="48" fillId="31" borderId="128" applyNumberFormat="0" applyProtection="0">
      <alignment horizontal="left" vertical="top" indent="1"/>
    </xf>
    <xf numFmtId="4" fontId="253" fillId="35" borderId="129"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30" borderId="129" applyNumberFormat="0" applyProtection="0">
      <alignment horizontal="left" vertical="center" indent="1"/>
    </xf>
    <xf numFmtId="352" fontId="252" fillId="34" borderId="128" applyNumberFormat="0" applyProtection="0">
      <alignment horizontal="left" vertical="top" indent="1"/>
    </xf>
    <xf numFmtId="352" fontId="48" fillId="31" borderId="128" applyNumberFormat="0" applyProtection="0">
      <alignment horizontal="left" vertical="top" indent="1"/>
    </xf>
    <xf numFmtId="4" fontId="48" fillId="18" borderId="123" applyNumberFormat="0" applyProtection="0">
      <alignment vertical="center"/>
    </xf>
    <xf numFmtId="4" fontId="48" fillId="64" borderId="123" applyNumberFormat="0" applyProtection="0">
      <alignment horizontal="left" vertical="center"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0" borderId="128" applyNumberFormat="0" applyProtection="0">
      <alignment horizontal="left" vertical="top" indent="1"/>
    </xf>
    <xf numFmtId="4" fontId="252" fillId="61" borderId="128"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7" fontId="59" fillId="0" borderId="131" applyNumberFormat="0"/>
    <xf numFmtId="352" fontId="10" fillId="0" borderId="132" applyNumberFormat="0" applyFill="0" applyAlignment="0" applyProtection="0"/>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23" borderId="123" applyNumberFormat="0" applyProtection="0">
      <alignment horizontal="right" vertical="center"/>
    </xf>
    <xf numFmtId="352" fontId="48" fillId="83"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30" borderId="123" applyNumberFormat="0" applyProtection="0">
      <alignment horizontal="left" vertical="center" indent="1"/>
    </xf>
    <xf numFmtId="210" fontId="59" fillId="0" borderId="32" applyFill="0"/>
    <xf numFmtId="4" fontId="252" fillId="34" borderId="128" applyNumberFormat="0" applyProtection="0">
      <alignment vertical="center"/>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18" borderId="123" applyNumberFormat="0" applyProtection="0">
      <alignmen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 fillId="30" borderId="128" applyNumberFormat="0" applyProtection="0">
      <alignment horizontal="left" vertical="center" indent="1"/>
    </xf>
    <xf numFmtId="352" fontId="248" fillId="128" borderId="123" applyNumberFormat="0" applyAlignment="0" applyProtection="0"/>
    <xf numFmtId="352" fontId="48" fillId="30" borderId="123" applyNumberFormat="0" applyProtection="0">
      <alignment horizontal="left" vertical="center" indent="1"/>
    </xf>
    <xf numFmtId="352" fontId="48" fillId="32" borderId="128" applyNumberFormat="0" applyProtection="0">
      <alignment horizontal="left" vertical="top" indent="1"/>
    </xf>
    <xf numFmtId="37" fontId="59" fillId="0" borderId="131" applyNumberFormat="0"/>
    <xf numFmtId="352" fontId="48" fillId="13" borderId="123" applyNumberFormat="0" applyFont="0" applyAlignment="0" applyProtection="0"/>
    <xf numFmtId="4" fontId="253" fillId="35" borderId="129" applyNumberFormat="0" applyProtection="0">
      <alignment horizontal="left" vertical="center" indent="1"/>
    </xf>
    <xf numFmtId="164" fontId="7" fillId="0" borderId="0" applyFont="0" applyFill="0" applyBorder="0" applyAlignment="0" applyProtection="0"/>
    <xf numFmtId="352" fontId="48" fillId="13" borderId="123" applyNumberFormat="0" applyFont="0" applyAlignment="0" applyProtection="0"/>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252" fillId="34" borderId="128" applyNumberFormat="0" applyProtection="0">
      <alignmen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top" indent="1"/>
    </xf>
    <xf numFmtId="4" fontId="48" fillId="26" borderId="123" applyNumberFormat="0" applyProtection="0">
      <alignment horizontal="righ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center" indent="1"/>
    </xf>
    <xf numFmtId="352" fontId="48" fillId="19" borderId="128" applyNumberFormat="0" applyProtection="0">
      <alignment horizontal="left" vertical="top" indent="1"/>
    </xf>
    <xf numFmtId="352" fontId="248" fillId="128" borderId="123" applyNumberFormat="0" applyAlignment="0" applyProtection="0"/>
    <xf numFmtId="4" fontId="48" fillId="24" borderId="123" applyNumberFormat="0" applyProtection="0">
      <alignment horizontal="right" vertical="center"/>
    </xf>
    <xf numFmtId="210" fontId="59" fillId="0" borderId="32" applyFill="0"/>
    <xf numFmtId="352" fontId="48" fillId="13" borderId="123" applyNumberFormat="0" applyFont="0" applyAlignment="0" applyProtection="0"/>
    <xf numFmtId="352" fontId="252" fillId="34" borderId="128" applyNumberFormat="0" applyProtection="0">
      <alignment horizontal="left" vertical="top" indent="1"/>
    </xf>
    <xf numFmtId="4" fontId="252" fillId="34" borderId="128" applyNumberFormat="0" applyProtection="0">
      <alignment vertical="center"/>
    </xf>
    <xf numFmtId="352" fontId="48" fillId="13" borderId="123" applyNumberFormat="0" applyFont="0" applyAlignment="0" applyProtection="0"/>
    <xf numFmtId="352" fontId="48" fillId="13" borderId="123" applyNumberFormat="0" applyFont="0" applyAlignment="0" applyProtection="0"/>
    <xf numFmtId="352" fontId="251" fillId="18" borderId="128" applyNumberFormat="0" applyProtection="0">
      <alignment horizontal="left" vertical="top" indent="1"/>
    </xf>
    <xf numFmtId="4" fontId="48" fillId="25" borderId="123" applyNumberFormat="0" applyProtection="0">
      <alignment horizontal="right" vertical="center"/>
    </xf>
    <xf numFmtId="4" fontId="48" fillId="19"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137" fillId="14" borderId="123" applyNumberFormat="0" applyAlignment="0" applyProtection="0"/>
    <xf numFmtId="37" fontId="59" fillId="0" borderId="131" applyNumberFormat="0"/>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29" borderId="129" applyNumberFormat="0" applyProtection="0">
      <alignment horizontal="left" vertical="center" indent="1"/>
    </xf>
    <xf numFmtId="352" fontId="137" fillId="14" borderId="123" applyNumberFormat="0" applyAlignment="0" applyProtection="0"/>
    <xf numFmtId="4" fontId="250" fillId="50" borderId="123" applyNumberFormat="0" applyProtection="0">
      <alignment horizontal="right" vertical="center"/>
    </xf>
    <xf numFmtId="4" fontId="252" fillId="34" borderId="128" applyNumberFormat="0" applyProtection="0">
      <alignment vertical="center"/>
    </xf>
    <xf numFmtId="352" fontId="48" fillId="30" borderId="128" applyNumberFormat="0" applyProtection="0">
      <alignment horizontal="left" vertical="top" indent="1"/>
    </xf>
    <xf numFmtId="4" fontId="252" fillId="61" borderId="128" applyNumberFormat="0" applyProtection="0">
      <alignment horizontal="left" vertical="center" indent="1"/>
    </xf>
    <xf numFmtId="352" fontId="4" fillId="30" borderId="128" applyNumberFormat="0" applyProtection="0">
      <alignment horizontal="left" vertical="center" indent="1"/>
    </xf>
    <xf numFmtId="4" fontId="48" fillId="64" borderId="123" applyNumberFormat="0" applyProtection="0">
      <alignment horizontal="left" vertical="center" indent="1"/>
    </xf>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4" fontId="48" fillId="27" borderId="123" applyNumberFormat="0" applyProtection="0">
      <alignment horizontal="right" vertical="center"/>
    </xf>
    <xf numFmtId="4" fontId="48" fillId="30" borderId="129" applyNumberFormat="0" applyProtection="0">
      <alignment horizontal="left" vertical="center" indent="1"/>
    </xf>
    <xf numFmtId="4" fontId="48" fillId="64" borderId="123" applyNumberFormat="0" applyProtection="0">
      <alignment horizontal="left" vertical="center" indent="1"/>
    </xf>
    <xf numFmtId="4" fontId="48" fillId="27" borderId="123" applyNumberFormat="0" applyProtection="0">
      <alignment horizontal="right" vertical="center"/>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5"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164" fontId="7" fillId="0" borderId="0" applyFont="0" applyFill="0" applyBorder="0" applyAlignment="0" applyProtection="0"/>
    <xf numFmtId="4" fontId="48" fillId="23"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4" fontId="48" fillId="18" borderId="123" applyNumberFormat="0" applyProtection="0">
      <alignment vertical="center"/>
    </xf>
    <xf numFmtId="4" fontId="250" fillId="45" borderId="123" applyNumberFormat="0" applyProtection="0">
      <alignment vertical="center"/>
    </xf>
    <xf numFmtId="4" fontId="48" fillId="25" borderId="123" applyNumberFormat="0" applyProtection="0">
      <alignment horizontal="right" vertical="center"/>
    </xf>
    <xf numFmtId="4" fontId="48" fillId="29" borderId="129" applyNumberFormat="0" applyProtection="0">
      <alignment horizontal="left" vertical="center" indent="1"/>
    </xf>
    <xf numFmtId="4" fontId="48" fillId="131"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210" fontId="59" fillId="0" borderId="32" applyFill="0"/>
    <xf numFmtId="352" fontId="48" fillId="32" borderId="128" applyNumberFormat="0" applyProtection="0">
      <alignment horizontal="left" vertical="top" indent="1"/>
    </xf>
    <xf numFmtId="4" fontId="48" fillId="19"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179" fillId="128" borderId="127" applyNumberFormat="0" applyAlignment="0" applyProtection="0"/>
    <xf numFmtId="352" fontId="48" fillId="61" borderId="123"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27" borderId="123" applyNumberFormat="0" applyProtection="0">
      <alignment horizontal="right" vertical="center"/>
    </xf>
    <xf numFmtId="352" fontId="251" fillId="18" borderId="128" applyNumberFormat="0" applyProtection="0">
      <alignment horizontal="left" vertical="top"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4" fontId="4" fillId="31" borderId="129" applyNumberFormat="0" applyProtection="0">
      <alignment horizontal="left" vertical="center" indent="1"/>
    </xf>
    <xf numFmtId="4" fontId="48" fillId="25" borderId="123" applyNumberFormat="0" applyProtection="0">
      <alignment horizontal="right" vertical="center"/>
    </xf>
    <xf numFmtId="4" fontId="48" fillId="23"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10" fillId="0" borderId="132" applyNumberFormat="0" applyFill="0" applyAlignment="0" applyProtection="0"/>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210" fontId="59" fillId="0" borderId="32" applyFill="0"/>
    <xf numFmtId="352" fontId="48" fillId="30"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 fillId="32" borderId="128" applyNumberFormat="0" applyProtection="0">
      <alignment horizontal="left" vertical="top" indent="1"/>
    </xf>
    <xf numFmtId="352" fontId="137" fillId="14" borderId="123" applyNumberFormat="0" applyAlignment="0" applyProtection="0"/>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7" borderId="123" applyNumberFormat="0" applyProtection="0">
      <alignment horizontal="right" vertical="center"/>
    </xf>
    <xf numFmtId="4" fontId="48" fillId="20"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4" fontId="48" fillId="131" borderId="123" applyNumberFormat="0" applyProtection="0">
      <alignment horizontal="right" vertical="center"/>
    </xf>
    <xf numFmtId="352" fontId="48" fillId="30" borderId="128" applyNumberFormat="0" applyProtection="0">
      <alignment horizontal="left" vertical="top" indent="1"/>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48" fillId="0" borderId="123" applyNumberFormat="0" applyProtection="0">
      <alignment horizontal="right" vertical="center"/>
    </xf>
    <xf numFmtId="352" fontId="4" fillId="32" borderId="128" applyNumberFormat="0" applyProtection="0">
      <alignment horizontal="left" vertical="top" indent="1"/>
    </xf>
    <xf numFmtId="37" fontId="59" fillId="0" borderId="131" applyNumberFormat="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2" borderId="129" applyNumberFormat="0" applyProtection="0">
      <alignment horizontal="right" vertical="center"/>
    </xf>
    <xf numFmtId="352" fontId="248" fillId="128" borderId="123" applyNumberFormat="0" applyAlignment="0" applyProtection="0"/>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0" borderId="123" applyNumberFormat="0" applyProtection="0">
      <alignment horizontal="right" vertical="center"/>
    </xf>
    <xf numFmtId="352" fontId="48" fillId="13" borderId="123" applyNumberFormat="0" applyFont="0" applyAlignment="0" applyProtection="0"/>
    <xf numFmtId="4" fontId="48" fillId="23" borderId="123" applyNumberFormat="0" applyProtection="0">
      <alignment horizontal="right" vertical="center"/>
    </xf>
    <xf numFmtId="4" fontId="48" fillId="23" borderId="123" applyNumberFormat="0" applyProtection="0">
      <alignment horizontal="right" vertical="center"/>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20" borderId="123" applyNumberFormat="0" applyProtection="0">
      <alignment horizontal="right" vertical="center"/>
    </xf>
    <xf numFmtId="352" fontId="48" fillId="30" borderId="128" applyNumberFormat="0" applyProtection="0">
      <alignment horizontal="left" vertical="top" indent="1"/>
    </xf>
    <xf numFmtId="352" fontId="48" fillId="31"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4" fontId="48" fillId="64" borderId="123" applyNumberFormat="0" applyProtection="0">
      <alignment horizontal="left" vertical="center" indent="1"/>
    </xf>
    <xf numFmtId="352" fontId="48" fillId="30" borderId="128" applyNumberFormat="0" applyProtection="0">
      <alignment horizontal="left" vertical="top" indent="1"/>
    </xf>
    <xf numFmtId="352" fontId="48" fillId="19"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164" fontId="7" fillId="0" borderId="0" applyFont="0" applyFill="0" applyBorder="0" applyAlignment="0" applyProtection="0"/>
    <xf numFmtId="352" fontId="251" fillId="18"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 fillId="31" borderId="128" applyNumberFormat="0" applyProtection="0">
      <alignment horizontal="left" vertical="top" indent="1"/>
    </xf>
    <xf numFmtId="352" fontId="48" fillId="32" borderId="128" applyNumberFormat="0" applyProtection="0">
      <alignment horizontal="left" vertical="top" indent="1"/>
    </xf>
    <xf numFmtId="352" fontId="48" fillId="32" borderId="123"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131" borderId="123" applyNumberFormat="0" applyProtection="0">
      <alignment horizontal="right" vertical="center"/>
    </xf>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19" borderId="123" applyNumberFormat="0" applyProtection="0">
      <alignment horizontal="right" vertical="center"/>
    </xf>
    <xf numFmtId="4" fontId="48" fillId="131" borderId="123" applyNumberFormat="0" applyProtection="0">
      <alignment horizontal="right" vertical="center"/>
    </xf>
    <xf numFmtId="352" fontId="48" fillId="31" borderId="128" applyNumberFormat="0" applyProtection="0">
      <alignment horizontal="left" vertical="top" indent="1"/>
    </xf>
    <xf numFmtId="4" fontId="48" fillId="29" borderId="129" applyNumberFormat="0" applyProtection="0">
      <alignment horizontal="left" vertical="center" indent="1"/>
    </xf>
    <xf numFmtId="4" fontId="48" fillId="26" borderId="123" applyNumberFormat="0" applyProtection="0">
      <alignment horizontal="right" vertical="center"/>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34" borderId="128" applyNumberFormat="0" applyProtection="0">
      <alignment vertical="center"/>
    </xf>
    <xf numFmtId="4" fontId="253" fillId="35" borderId="129" applyNumberFormat="0" applyProtection="0">
      <alignment horizontal="left" vertical="center" indent="1"/>
    </xf>
    <xf numFmtId="352" fontId="48" fillId="19" borderId="128" applyNumberFormat="0" applyProtection="0">
      <alignment horizontal="left" vertical="top" indent="1"/>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23" borderId="123" applyNumberFormat="0" applyProtection="0">
      <alignment horizontal="right" vertical="center"/>
    </xf>
    <xf numFmtId="4" fontId="250" fillId="45" borderId="123" applyNumberFormat="0" applyProtection="0">
      <alignment vertical="center"/>
    </xf>
    <xf numFmtId="352" fontId="48" fillId="13" borderId="123" applyNumberFormat="0" applyFont="0" applyAlignment="0" applyProtection="0"/>
    <xf numFmtId="352" fontId="248" fillId="128" borderId="123" applyNumberFormat="0" applyAlignment="0" applyProtection="0"/>
    <xf numFmtId="4" fontId="48" fillId="131" borderId="123" applyNumberFormat="0" applyProtection="0">
      <alignment horizontal="right" vertical="center"/>
    </xf>
    <xf numFmtId="352" fontId="48" fillId="13" borderId="123" applyNumberFormat="0" applyFont="0" applyAlignment="0" applyProtection="0"/>
    <xf numFmtId="352" fontId="252" fillId="34" borderId="128" applyNumberFormat="0" applyProtection="0">
      <alignment horizontal="left" vertical="top" indent="1"/>
    </xf>
    <xf numFmtId="4" fontId="48" fillId="25" borderId="123" applyNumberFormat="0" applyProtection="0">
      <alignment horizontal="right" vertical="center"/>
    </xf>
    <xf numFmtId="4" fontId="4" fillId="31" borderId="129"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10" fillId="0" borderId="132" applyNumberFormat="0" applyFill="0" applyAlignment="0" applyProtection="0"/>
    <xf numFmtId="352" fontId="48" fillId="32" borderId="128" applyNumberFormat="0" applyProtection="0">
      <alignment horizontal="left" vertical="top" indent="1"/>
    </xf>
    <xf numFmtId="352" fontId="248" fillId="128" borderId="123" applyNumberFormat="0" applyAlignment="0" applyProtection="0"/>
    <xf numFmtId="4" fontId="48" fillId="0" borderId="123" applyNumberFormat="0" applyProtection="0">
      <alignment horizontal="right" vertical="center"/>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 fillId="31" borderId="128" applyNumberFormat="0" applyProtection="0">
      <alignment horizontal="left" vertical="top" indent="1"/>
    </xf>
    <xf numFmtId="4" fontId="48" fillId="28" borderId="123" applyNumberFormat="0" applyProtection="0">
      <alignment horizontal="right" vertical="center"/>
    </xf>
    <xf numFmtId="352" fontId="251" fillId="18" borderId="128" applyNumberFormat="0" applyProtection="0">
      <alignment horizontal="left" vertical="top" indent="1"/>
    </xf>
    <xf numFmtId="352" fontId="88" fillId="31" borderId="130" applyBorder="0"/>
    <xf numFmtId="352" fontId="48" fillId="32" borderId="123" applyNumberFormat="0" applyProtection="0">
      <alignment horizontal="left" vertical="center" indent="1"/>
    </xf>
    <xf numFmtId="352" fontId="137" fillId="14" borderId="123" applyNumberFormat="0" applyAlignment="0" applyProtection="0"/>
    <xf numFmtId="4" fontId="252" fillId="61" borderId="128" applyNumberFormat="0" applyProtection="0">
      <alignment horizontal="left" vertical="center" indent="1"/>
    </xf>
    <xf numFmtId="352" fontId="48" fillId="13" borderId="123" applyNumberFormat="0" applyFont="0" applyAlignment="0" applyProtection="0"/>
    <xf numFmtId="352" fontId="248" fillId="128" borderId="123" applyNumberFormat="0" applyAlignment="0" applyProtection="0"/>
    <xf numFmtId="4" fontId="48" fillId="45" borderId="123" applyNumberFormat="0" applyProtection="0">
      <alignment horizontal="left" vertical="center" indent="1"/>
    </xf>
    <xf numFmtId="4" fontId="48" fillId="24" borderId="123" applyNumberFormat="0" applyProtection="0">
      <alignment horizontal="right" vertical="center"/>
    </xf>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10" fillId="0" borderId="132" applyNumberFormat="0" applyFill="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252" fillId="34" borderId="128" applyNumberFormat="0" applyProtection="0">
      <alignment horizontal="left" vertical="top" indent="1"/>
    </xf>
    <xf numFmtId="352" fontId="48" fillId="32" borderId="128" applyNumberFormat="0" applyProtection="0">
      <alignment horizontal="left" vertical="top" indent="1"/>
    </xf>
    <xf numFmtId="352" fontId="252" fillId="19" borderId="128" applyNumberFormat="0" applyProtection="0">
      <alignment horizontal="left" vertical="top" indent="1"/>
    </xf>
    <xf numFmtId="352" fontId="88" fillId="31" borderId="130" applyBorder="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210" fontId="59" fillId="0" borderId="32" applyFill="0"/>
    <xf numFmtId="4" fontId="48" fillId="28" borderId="123" applyNumberFormat="0" applyProtection="0">
      <alignment horizontal="right" vertical="center"/>
    </xf>
    <xf numFmtId="4" fontId="48" fillId="19" borderId="129" applyNumberFormat="0" applyProtection="0">
      <alignment horizontal="left" vertical="center" indent="1"/>
    </xf>
    <xf numFmtId="4" fontId="48" fillId="20" borderId="123" applyNumberFormat="0" applyProtection="0">
      <alignment horizontal="right" vertical="center"/>
    </xf>
    <xf numFmtId="4" fontId="48" fillId="28"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48" fillId="18" borderId="123" applyNumberFormat="0" applyProtection="0">
      <alignment vertical="center"/>
    </xf>
    <xf numFmtId="4" fontId="48" fillId="24" borderId="123" applyNumberFormat="0" applyProtection="0">
      <alignment horizontal="right" vertical="center"/>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4" borderId="123" applyNumberFormat="0" applyProtection="0">
      <alignment horizontal="right" vertical="center"/>
    </xf>
    <xf numFmtId="4" fontId="48" fillId="18" borderId="123" applyNumberFormat="0" applyProtection="0">
      <alignmen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48" fillId="26" borderId="123" applyNumberFormat="0" applyProtection="0">
      <alignment horizontal="right" vertical="center"/>
    </xf>
    <xf numFmtId="4" fontId="4" fillId="31" borderId="129" applyNumberFormat="0" applyProtection="0">
      <alignment horizontal="left" vertical="center" indent="1"/>
    </xf>
    <xf numFmtId="4" fontId="48" fillId="22" borderId="129" applyNumberFormat="0" applyProtection="0">
      <alignment horizontal="right" vertical="center"/>
    </xf>
    <xf numFmtId="4" fontId="48" fillId="30" borderId="129" applyNumberFormat="0" applyProtection="0">
      <alignment horizontal="left" vertical="center" indent="1"/>
    </xf>
    <xf numFmtId="352" fontId="4" fillId="31" borderId="128" applyNumberFormat="0" applyProtection="0">
      <alignment horizontal="left" vertical="center" indent="1"/>
    </xf>
    <xf numFmtId="352" fontId="48" fillId="32"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4" fontId="48" fillId="18" borderId="123" applyNumberFormat="0" applyProtection="0">
      <alignment vertical="center"/>
    </xf>
    <xf numFmtId="352" fontId="4" fillId="31" borderId="128" applyNumberFormat="0" applyProtection="0">
      <alignment horizontal="left" vertical="center" indent="1"/>
    </xf>
    <xf numFmtId="352" fontId="48" fillId="30"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45"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25" borderId="123" applyNumberFormat="0" applyProtection="0">
      <alignment horizontal="right" vertical="center"/>
    </xf>
    <xf numFmtId="352" fontId="251" fillId="18" borderId="128" applyNumberFormat="0" applyProtection="0">
      <alignment horizontal="left" vertical="top" indent="1"/>
    </xf>
    <xf numFmtId="4" fontId="48" fillId="19" borderId="123" applyNumberFormat="0" applyProtection="0">
      <alignment horizontal="right" vertical="center"/>
    </xf>
    <xf numFmtId="4" fontId="48" fillId="26" borderId="123" applyNumberFormat="0" applyProtection="0">
      <alignment horizontal="right" vertical="center"/>
    </xf>
    <xf numFmtId="4" fontId="48" fillId="24"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0" fillId="50" borderId="123" applyNumberFormat="0" applyProtection="0">
      <alignment horizontal="right" vertical="center"/>
    </xf>
    <xf numFmtId="352" fontId="10" fillId="0" borderId="132" applyNumberFormat="0" applyFill="0" applyAlignment="0" applyProtection="0"/>
    <xf numFmtId="4" fontId="252" fillId="34" borderId="128" applyNumberFormat="0" applyProtection="0">
      <alignment vertical="center"/>
    </xf>
    <xf numFmtId="352" fontId="48" fillId="30" borderId="128" applyNumberFormat="0" applyProtection="0">
      <alignment horizontal="left" vertical="top" indent="1"/>
    </xf>
    <xf numFmtId="352" fontId="88" fillId="31" borderId="130" applyBorder="0"/>
    <xf numFmtId="4" fontId="48" fillId="0" borderId="123" applyNumberFormat="0" applyProtection="0">
      <alignment horizontal="right" vertical="center"/>
    </xf>
    <xf numFmtId="352" fontId="48" fillId="30" borderId="128" applyNumberFormat="0" applyProtection="0">
      <alignment horizontal="left" vertical="top" indent="1"/>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352" fontId="137" fillId="14" borderId="123" applyNumberFormat="0" applyAlignment="0" applyProtection="0"/>
    <xf numFmtId="352" fontId="48" fillId="32" borderId="128" applyNumberFormat="0" applyProtection="0">
      <alignment horizontal="left" vertical="top" indent="1"/>
    </xf>
    <xf numFmtId="352" fontId="137" fillId="14" borderId="123" applyNumberFormat="0" applyAlignment="0" applyProtection="0"/>
    <xf numFmtId="352" fontId="48" fillId="83" borderId="123" applyNumberFormat="0" applyProtection="0">
      <alignment horizontal="left" vertical="center"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26" borderId="123" applyNumberFormat="0" applyProtection="0">
      <alignment horizontal="right" vertical="center"/>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88" fillId="31" borderId="130" applyBorder="0"/>
    <xf numFmtId="4" fontId="48" fillId="22" borderId="129" applyNumberFormat="0" applyProtection="0">
      <alignment horizontal="right" vertical="center"/>
    </xf>
    <xf numFmtId="352" fontId="48" fillId="30" borderId="128" applyNumberFormat="0" applyProtection="0">
      <alignment horizontal="left" vertical="top" indent="1"/>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131" borderId="123" applyNumberFormat="0" applyProtection="0">
      <alignment horizontal="right" vertical="center"/>
    </xf>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250" fillId="50"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4" fontId="48" fillId="24"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4" fontId="254" fillId="33" borderId="123" applyNumberFormat="0" applyProtection="0">
      <alignment horizontal="right" vertical="center"/>
    </xf>
    <xf numFmtId="352" fontId="48" fillId="19" borderId="128" applyNumberFormat="0" applyProtection="0">
      <alignment horizontal="left" vertical="top"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 fillId="32" borderId="128"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4" fontId="250" fillId="50" borderId="123" applyNumberFormat="0" applyProtection="0">
      <alignment horizontal="right" vertical="center"/>
    </xf>
    <xf numFmtId="352" fontId="4" fillId="30" borderId="128" applyNumberFormat="0" applyProtection="0">
      <alignment horizontal="left" vertical="top" indent="1"/>
    </xf>
    <xf numFmtId="352" fontId="48" fillId="19" borderId="128" applyNumberFormat="0" applyProtection="0">
      <alignment horizontal="left" vertical="top" indent="1"/>
    </xf>
    <xf numFmtId="4" fontId="48" fillId="29" borderId="129" applyNumberFormat="0" applyProtection="0">
      <alignment horizontal="left" vertical="center" indent="1"/>
    </xf>
    <xf numFmtId="4" fontId="48" fillId="22" borderId="129" applyNumberFormat="0" applyProtection="0">
      <alignment horizontal="right" vertical="center"/>
    </xf>
    <xf numFmtId="4" fontId="252" fillId="61" borderId="128" applyNumberFormat="0" applyProtection="0">
      <alignment horizontal="left" vertical="center" indent="1"/>
    </xf>
    <xf numFmtId="352" fontId="10" fillId="0" borderId="132" applyNumberFormat="0" applyFill="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252" fillId="34" borderId="128" applyNumberFormat="0" applyProtection="0">
      <alignment horizontal="left" vertical="top" indent="1"/>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4" fontId="4" fillId="31" borderId="129" applyNumberFormat="0" applyProtection="0">
      <alignment horizontal="left" vertical="center" indent="1"/>
    </xf>
    <xf numFmtId="4" fontId="48" fillId="26" borderId="123" applyNumberFormat="0" applyProtection="0">
      <alignment horizontal="right" vertical="center"/>
    </xf>
    <xf numFmtId="352" fontId="48" fillId="13" borderId="123" applyNumberFormat="0" applyFont="0" applyAlignment="0" applyProtection="0"/>
    <xf numFmtId="4" fontId="48" fillId="18" borderId="123" applyNumberFormat="0" applyProtection="0">
      <alignmen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13" borderId="123" applyNumberFormat="0" applyFont="0" applyAlignment="0" applyProtection="0"/>
    <xf numFmtId="210" fontId="59" fillId="0" borderId="32" applyFill="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45" borderId="123" applyNumberFormat="0" applyProtection="0">
      <alignment horizontal="left" vertical="center" indent="1"/>
    </xf>
    <xf numFmtId="4" fontId="250" fillId="50" borderId="123" applyNumberFormat="0" applyProtection="0">
      <alignment horizontal="right" vertical="center"/>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254" fillId="33" borderId="123" applyNumberFormat="0" applyProtection="0">
      <alignment horizontal="right" vertical="center"/>
    </xf>
    <xf numFmtId="4" fontId="252" fillId="61" borderId="128" applyNumberFormat="0" applyProtection="0">
      <alignment horizontal="left" vertical="center"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0" borderId="128" applyNumberFormat="0" applyProtection="0">
      <alignment horizontal="left" vertical="top" indent="1"/>
    </xf>
    <xf numFmtId="4" fontId="4" fillId="31" borderId="129" applyNumberFormat="0" applyProtection="0">
      <alignment horizontal="left" vertical="center" indent="1"/>
    </xf>
    <xf numFmtId="352" fontId="4" fillId="31" borderId="128" applyNumberFormat="0" applyProtection="0">
      <alignment horizontal="left" vertical="top" indent="1"/>
    </xf>
    <xf numFmtId="4" fontId="48" fillId="22" borderId="129" applyNumberFormat="0" applyProtection="0">
      <alignment horizontal="right" vertical="center"/>
    </xf>
    <xf numFmtId="352" fontId="48" fillId="61" borderId="123" applyNumberFormat="0" applyProtection="0">
      <alignment horizontal="left" vertical="center" indent="1"/>
    </xf>
    <xf numFmtId="4" fontId="48" fillId="45"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8" borderId="123" applyNumberFormat="0" applyProtection="0">
      <alignment horizontal="righ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4" fontId="48" fillId="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251" fillId="18" borderId="128" applyNumberFormat="0" applyProtection="0">
      <alignment horizontal="left" vertical="top" indent="1"/>
    </xf>
    <xf numFmtId="352" fontId="48" fillId="13" borderId="123" applyNumberFormat="0" applyFont="0" applyAlignment="0" applyProtection="0"/>
    <xf numFmtId="352" fontId="48" fillId="30" borderId="123"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2" fontId="248" fillId="128" borderId="123" applyNumberFormat="0" applyAlignment="0" applyProtection="0"/>
    <xf numFmtId="4" fontId="250" fillId="50" borderId="123" applyNumberFormat="0" applyProtection="0">
      <alignment horizontal="right" vertical="center"/>
    </xf>
    <xf numFmtId="352" fontId="137" fillId="14" borderId="123" applyNumberFormat="0" applyAlignment="0" applyProtection="0"/>
    <xf numFmtId="164" fontId="7" fillId="0" borderId="0" applyFont="0" applyFill="0" applyBorder="0" applyAlignment="0" applyProtection="0"/>
    <xf numFmtId="352" fontId="248" fillId="128" borderId="123" applyNumberFormat="0" applyAlignment="0" applyProtection="0"/>
    <xf numFmtId="4" fontId="48" fillId="45" borderId="123" applyNumberFormat="0" applyProtection="0">
      <alignment horizontal="left" vertical="center" indent="1"/>
    </xf>
    <xf numFmtId="352" fontId="137" fillId="14" borderId="123" applyNumberFormat="0" applyAlignment="0" applyProtection="0"/>
    <xf numFmtId="4" fontId="48" fillId="64" borderId="123" applyNumberFormat="0" applyProtection="0">
      <alignment horizontal="left" vertical="center" indent="1"/>
    </xf>
    <xf numFmtId="4" fontId="48" fillId="26" borderId="123" applyNumberFormat="0" applyProtection="0">
      <alignment horizontal="right" vertical="center"/>
    </xf>
    <xf numFmtId="164" fontId="7" fillId="0" borderId="0" applyFont="0" applyFill="0" applyBorder="0" applyAlignment="0" applyProtection="0"/>
    <xf numFmtId="4" fontId="254" fillId="33" borderId="123" applyNumberFormat="0" applyProtection="0">
      <alignment horizontal="right" vertical="center"/>
    </xf>
    <xf numFmtId="4" fontId="48" fillId="23" borderId="123" applyNumberFormat="0" applyProtection="0">
      <alignment horizontal="right" vertical="center"/>
    </xf>
  </cellStyleXfs>
  <cellXfs count="1015">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6" fillId="47" borderId="115"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49" fontId="5" fillId="38" borderId="77" xfId="77" applyNumberFormat="1" applyFont="1" applyFill="1" applyBorder="1" applyProtection="1"/>
    <xf numFmtId="349" fontId="5" fillId="38" borderId="78"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7" xfId="0" applyNumberFormat="1" applyFill="1" applyBorder="1" applyAlignment="1">
      <alignment horizontal="right" vertical="top"/>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39" fillId="46" borderId="121" xfId="48236" applyNumberFormat="1" applyFont="1" applyFill="1" applyBorder="1" applyAlignment="1">
      <alignment horizontal="center" vertical="top" wrapText="1"/>
    </xf>
    <xf numFmtId="0" fontId="239" fillId="46" borderId="121" xfId="48236" applyFont="1" applyFill="1" applyBorder="1" applyAlignment="1">
      <alignment vertical="top" wrapText="1"/>
    </xf>
    <xf numFmtId="0" fontId="239"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42" borderId="68"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4" xfId="90" applyFont="1" applyFill="1" applyBorder="1" applyAlignment="1">
      <alignment horizontal="left"/>
    </xf>
    <xf numFmtId="0" fontId="256" fillId="47" borderId="57" xfId="0" applyFont="1" applyFill="1" applyBorder="1" applyAlignment="1">
      <alignment wrapText="1"/>
    </xf>
    <xf numFmtId="0" fontId="256" fillId="47" borderId="115"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3" xfId="0" applyFill="1" applyBorder="1" applyAlignment="1">
      <alignment horizontal="left" vertical="center" wrapText="1" indent="1"/>
    </xf>
    <xf numFmtId="0" fontId="0" fillId="42" borderId="134" xfId="0" applyFill="1" applyBorder="1" applyAlignment="1">
      <alignment horizontal="left" vertical="top" wrapText="1" indent="1"/>
    </xf>
    <xf numFmtId="0" fontId="0" fillId="42" borderId="134" xfId="0" applyFill="1" applyBorder="1" applyAlignment="1">
      <alignment horizontal="left" vertical="top" wrapText="1"/>
    </xf>
    <xf numFmtId="0" fontId="0" fillId="3" borderId="0" xfId="0" applyFont="1" applyFill="1" applyAlignment="1">
      <alignment horizontal="left" vertical="top" indent="1"/>
    </xf>
    <xf numFmtId="0" fontId="0" fillId="42" borderId="67" xfId="0" quotePrefix="1" applyFill="1" applyBorder="1" applyAlignment="1">
      <alignment horizontal="left" vertical="center" wrapText="1" indent="1"/>
    </xf>
    <xf numFmtId="0" fontId="0" fillId="3" borderId="0" xfId="0" applyFont="1" applyFill="1" applyAlignment="1">
      <alignment horizontal="left" vertical="top" indent="1"/>
    </xf>
    <xf numFmtId="14" fontId="5" fillId="3" borderId="135" xfId="2" applyNumberFormat="1" applyFont="1" applyFill="1" applyBorder="1"/>
    <xf numFmtId="0" fontId="5" fillId="3" borderId="135" xfId="2" applyNumberFormat="1" applyFont="1" applyFill="1" applyBorder="1" applyAlignment="1">
      <alignment horizontal="center" vertical="center"/>
    </xf>
    <xf numFmtId="172" fontId="5" fillId="3" borderId="135" xfId="2" applyNumberFormat="1" applyFont="1" applyFill="1" applyBorder="1"/>
    <xf numFmtId="172" fontId="5" fillId="38" borderId="135" xfId="1" applyNumberFormat="1" applyFont="1" applyFill="1" applyBorder="1" applyProtection="1"/>
    <xf numFmtId="0" fontId="0" fillId="3" borderId="0" xfId="0" applyFont="1" applyFill="1" applyAlignment="1">
      <alignment horizontal="left" vertical="top" indent="1"/>
    </xf>
    <xf numFmtId="164" fontId="5" fillId="3" borderId="64" xfId="2" applyNumberFormat="1" applyFont="1" applyFill="1" applyBorder="1"/>
    <xf numFmtId="164" fontId="5" fillId="3" borderId="65" xfId="2" applyNumberFormat="1" applyFont="1" applyFill="1" applyBorder="1"/>
    <xf numFmtId="2" fontId="0" fillId="0" borderId="0" xfId="0" applyNumberFormat="1"/>
    <xf numFmtId="43" fontId="0" fillId="0" borderId="0" xfId="0" applyNumberFormat="1" applyAlignment="1">
      <alignment horizontal="left" vertical="top"/>
    </xf>
    <xf numFmtId="173" fontId="0" fillId="52" borderId="64" xfId="0" applyNumberFormat="1" applyFill="1" applyBorder="1" applyAlignment="1">
      <alignment horizontal="right" vertical="top"/>
    </xf>
    <xf numFmtId="0" fontId="0" fillId="132" borderId="68" xfId="0" applyFill="1" applyBorder="1" applyAlignment="1">
      <alignment horizontal="left" vertical="top" wrapText="1"/>
    </xf>
    <xf numFmtId="172" fontId="0" fillId="132" borderId="68" xfId="0" applyNumberFormat="1" applyFill="1" applyBorder="1" applyAlignment="1">
      <alignment horizontal="right" vertical="top"/>
    </xf>
    <xf numFmtId="0" fontId="0" fillId="132" borderId="0" xfId="0" applyFont="1" applyFill="1" applyAlignment="1">
      <alignment horizontal="left" vertical="top" indent="1"/>
    </xf>
    <xf numFmtId="165" fontId="5" fillId="132" borderId="65" xfId="2" applyNumberFormat="1" applyFont="1" applyFill="1" applyBorder="1" applyAlignment="1">
      <alignment vertical="center"/>
    </xf>
    <xf numFmtId="172" fontId="0" fillId="132" borderId="65" xfId="0" applyNumberFormat="1" applyFill="1" applyBorder="1" applyAlignment="1">
      <alignment horizontal="right" vertical="top"/>
    </xf>
    <xf numFmtId="353" fontId="0" fillId="0" borderId="0" xfId="0" applyNumberFormat="1" applyFill="1" applyAlignment="1">
      <alignment horizontal="center" vertical="top"/>
    </xf>
    <xf numFmtId="172" fontId="5" fillId="132" borderId="68" xfId="2" applyNumberFormat="1" applyFont="1" applyFill="1" applyBorder="1"/>
    <xf numFmtId="172" fontId="5" fillId="132" borderId="69" xfId="2" applyNumberFormat="1" applyFont="1" applyFill="1" applyBorder="1"/>
    <xf numFmtId="172" fontId="5" fillId="132" borderId="64" xfId="2" applyNumberFormat="1" applyFont="1" applyFill="1" applyBorder="1"/>
    <xf numFmtId="172" fontId="5" fillId="132" borderId="70" xfId="2" applyNumberFormat="1" applyFont="1" applyFill="1" applyBorder="1"/>
    <xf numFmtId="172" fontId="0" fillId="132" borderId="77" xfId="0" applyNumberFormat="1" applyFill="1" applyBorder="1" applyAlignment="1">
      <alignment horizontal="right" vertical="top"/>
    </xf>
    <xf numFmtId="0" fontId="5" fillId="132" borderId="9" xfId="75" applyNumberFormat="1" applyFont="1" applyFill="1" applyBorder="1" applyAlignment="1" applyProtection="1">
      <alignment vertical="center"/>
    </xf>
    <xf numFmtId="0" fontId="0" fillId="132" borderId="68" xfId="0" applyFill="1" applyBorder="1" applyAlignment="1">
      <alignment horizontal="left" vertical="top" wrapText="1" indent="1"/>
    </xf>
    <xf numFmtId="175" fontId="5" fillId="132" borderId="9" xfId="75" applyNumberFormat="1" applyFont="1" applyFill="1" applyBorder="1" applyAlignment="1" applyProtection="1">
      <alignment vertical="center"/>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0" fontId="0" fillId="3" borderId="112" xfId="0" applyFill="1" applyBorder="1" applyAlignment="1">
      <alignment horizontal="left" vertical="center" wrapText="1" indent="1"/>
    </xf>
    <xf numFmtId="0" fontId="0" fillId="3" borderId="107"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0" borderId="32"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89"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xf numFmtId="175" fontId="5" fillId="132" borderId="9" xfId="75" applyNumberFormat="1" applyFont="1" applyFill="1" applyBorder="1" applyProtection="1"/>
    <xf numFmtId="0" fontId="5" fillId="132" borderId="30" xfId="75" applyNumberFormat="1" applyFont="1" applyFill="1" applyBorder="1" applyAlignment="1" applyProtection="1">
      <alignment horizontal="left" vertical="top" wrapText="1"/>
    </xf>
    <xf numFmtId="0" fontId="0" fillId="132" borderId="30" xfId="0" applyFill="1" applyBorder="1" applyAlignment="1">
      <alignment horizontal="left" vertical="top" wrapText="1"/>
    </xf>
  </cellXfs>
  <cellStyles count="51685">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 3" xfId="48245"/>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14" xfId="48244"/>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2 9" xfId="48248"/>
    <cellStyle name="% 2 2 3" xfId="404"/>
    <cellStyle name="% 2 2 3 2" xfId="405"/>
    <cellStyle name="% 2 2 4" xfId="48247"/>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48" xfId="4824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79" xfId="48249"/>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2 2" xfId="48251"/>
    <cellStyle name="% 4 3" xfId="668"/>
    <cellStyle name="% 4 3 2" xfId="48252"/>
    <cellStyle name="% 4 4" xfId="669"/>
    <cellStyle name="% 4 4 2" xfId="48253"/>
    <cellStyle name="% 4 5" xfId="670"/>
    <cellStyle name="% 4 5 2" xfId="48254"/>
    <cellStyle name="% 4 6" xfId="671"/>
    <cellStyle name="% 4 6 2" xfId="48255"/>
    <cellStyle name="% 4 7" xfId="672"/>
    <cellStyle name="% 4 7 2" xfId="48256"/>
    <cellStyle name="% 4 8" xfId="673"/>
    <cellStyle name="% 4 8 2" xfId="48257"/>
    <cellStyle name="% 4 9" xfId="48250"/>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2 3" xfId="48259"/>
    <cellStyle name="%_3.3 Tax 3" xfId="798"/>
    <cellStyle name="%_3.3 Tax 4" xfId="4825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P10+ GTO Capex Split CN 2" xfId="48260"/>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GTO Non Operational Capex Roll-over submission (FINAL with property) 2" xfId="48261"/>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MG Workings 2" xfId="48262"/>
    <cellStyle name="%_NGG TPCR4 Rollover FBPQ (Capex)" xfId="842"/>
    <cellStyle name="%_Non formula" xfId="843"/>
    <cellStyle name="%_Opex Consolidation v0.4" xfId="844"/>
    <cellStyle name="%_Opex Input" xfId="48263"/>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 5" xfId="48264"/>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 2" xfId="48265"/>
    <cellStyle name="%_VR NGET Opex tables_1.5 Opex Reconciliation NG" xfId="910"/>
    <cellStyle name="%_VR Pensions Opex tables" xfId="911"/>
    <cellStyle name="%_VR Pensions Opex tables 2" xfId="48266"/>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323 - 5yr opex BPQ (Final) 9" xfId="48267"/>
    <cellStyle name="_0708 GSO Capex RRP (detail)" xfId="927"/>
    <cellStyle name="_0708 GSO Capex RRP (detail) 2" xfId="48269"/>
    <cellStyle name="_0708 GSO Capex RRP (detail) 2 2" xfId="48270"/>
    <cellStyle name="_0708 GSO Capex RRP (detail) 2 3" xfId="48271"/>
    <cellStyle name="_0708 GSO Capex RRP (detail) 2 4" xfId="48272"/>
    <cellStyle name="_0708 GSO Capex RRP (detail) 2 5" xfId="48273"/>
    <cellStyle name="_0708 GSO Capex RRP (detail) 2 6" xfId="48274"/>
    <cellStyle name="_0708 GSO Capex RRP (detail) 2 7" xfId="48275"/>
    <cellStyle name="_0708 GSO Capex RRP (detail) 2 8" xfId="48276"/>
    <cellStyle name="_0708 GSO Capex RRP (detail) 3" xfId="48268"/>
    <cellStyle name="_0708 GSO Capex RRP (detail)_Opex Input" xfId="4827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 9" xfId="48278"/>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ook4 2" xfId="48280"/>
    <cellStyle name="_Book4 2 2" xfId="48281"/>
    <cellStyle name="_Book4 2 3" xfId="48282"/>
    <cellStyle name="_Book4 2 4" xfId="48283"/>
    <cellStyle name="_Book4 2 5" xfId="48284"/>
    <cellStyle name="_Book4 2 6" xfId="48285"/>
    <cellStyle name="_Book4 2 7" xfId="48286"/>
    <cellStyle name="_Book4 2 8" xfId="48287"/>
    <cellStyle name="_Book4 3" xfId="48279"/>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 GTO Capex Split CN 2" xfId="48288"/>
    <cellStyle name="_BP10+post TIC 1 Jun" xfId="998"/>
    <cellStyle name="_BP10+post TIC 1 Jun 2" xfId="48290"/>
    <cellStyle name="_BP10+post TIC 1 Jun 2 2" xfId="48291"/>
    <cellStyle name="_BP10+post TIC 1 Jun 2 3" xfId="48292"/>
    <cellStyle name="_BP10+post TIC 1 Jun 2 4" xfId="48293"/>
    <cellStyle name="_BP10+post TIC 1 Jun 2 5" xfId="48294"/>
    <cellStyle name="_BP10+post TIC 1 Jun 2 6" xfId="48295"/>
    <cellStyle name="_BP10+post TIC 1 Jun 2 7" xfId="48296"/>
    <cellStyle name="_BP10+post TIC 1 Jun 2 8" xfId="48297"/>
    <cellStyle name="_BP10+post TIC 1 Jun 3" xfId="48289"/>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 9" xfId="48298"/>
    <cellStyle name="_Capital Plan - IS UK_0910 GSO Capex RRP - Final (Detail) v2 220710" xfId="1013"/>
    <cellStyle name="_Capital Plan - IS UK_0910 GSO Capex RRP - Final (Detail) v2 220710 2" xfId="48300"/>
    <cellStyle name="_Capital Plan - IS UK_0910 GSO Capex RRP - Final (Detail) v2 220710 2 2" xfId="48301"/>
    <cellStyle name="_Capital Plan - IS UK_0910 GSO Capex RRP - Final (Detail) v2 220710 2 3" xfId="48302"/>
    <cellStyle name="_Capital Plan - IS UK_0910 GSO Capex RRP - Final (Detail) v2 220710 2 4" xfId="48303"/>
    <cellStyle name="_Capital Plan - IS UK_0910 GSO Capex RRP - Final (Detail) v2 220710 2 5" xfId="48304"/>
    <cellStyle name="_Capital Plan - IS UK_0910 GSO Capex RRP - Final (Detail) v2 220710 2 6" xfId="48305"/>
    <cellStyle name="_Capital Plan - IS UK_0910 GSO Capex RRP - Final (Detail) v2 220710 2 7" xfId="48306"/>
    <cellStyle name="_Capital Plan - IS UK_0910 GSO Capex RRP - Final (Detail) v2 220710 2 8" xfId="48307"/>
    <cellStyle name="_Capital Plan - IS UK_0910 GSO Capex RRP - Final (Detail) v2 220710 3" xfId="48299"/>
    <cellStyle name="_Capital Plan - IS UK_0910 GSO Capex RRP - Final (Detail) v2 220710_Opex Input" xfId="48308"/>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Jun-10 2" xfId="48310"/>
    <cellStyle name="_Gas TO major Projects Forecast Jun-10 2 2" xfId="48311"/>
    <cellStyle name="_Gas TO major Projects Forecast Jun-10 2 3" xfId="48312"/>
    <cellStyle name="_Gas TO major Projects Forecast Jun-10 2 4" xfId="48313"/>
    <cellStyle name="_Gas TO major Projects Forecast Jun-10 2 5" xfId="48314"/>
    <cellStyle name="_Gas TO major Projects Forecast Jun-10 2 6" xfId="48315"/>
    <cellStyle name="_Gas TO major Projects Forecast Jun-10 2 7" xfId="48316"/>
    <cellStyle name="_Gas TO major Projects Forecast Jun-10 2 8" xfId="48317"/>
    <cellStyle name="_Gas TO major Projects Forecast Jun-10 3" xfId="48309"/>
    <cellStyle name="_Gas TO major Projects Forecast May-10 BP10+ v5" xfId="1071"/>
    <cellStyle name="_Gas TO major Projects Forecast May-10 BP10+ v5 2" xfId="48319"/>
    <cellStyle name="_Gas TO major Projects Forecast May-10 BP10+ v5 2 2" xfId="48320"/>
    <cellStyle name="_Gas TO major Projects Forecast May-10 BP10+ v5 2 3" xfId="48321"/>
    <cellStyle name="_Gas TO major Projects Forecast May-10 BP10+ v5 2 4" xfId="48322"/>
    <cellStyle name="_Gas TO major Projects Forecast May-10 BP10+ v5 2 5" xfId="48323"/>
    <cellStyle name="_Gas TO major Projects Forecast May-10 BP10+ v5 2 6" xfId="48324"/>
    <cellStyle name="_Gas TO major Projects Forecast May-10 BP10+ v5 2 7" xfId="48325"/>
    <cellStyle name="_Gas TO major Projects Forecast May-10 BP10+ v5 2 8" xfId="48326"/>
    <cellStyle name="_Gas TO major Projects Forecast May-10 BP10+ v5 3" xfId="48318"/>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GTO Non Operational Capex Roll-over submission (FINAL with property) 2" xfId="4832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est scoring_UKGDx_20070924_Pilot (DV) 9" xfId="48328"/>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1 2" xfId="48329"/>
    <cellStyle name="=C:\WINNT\SYSTEM32\COMMAND.COM 12" xfId="1232"/>
    <cellStyle name="=C:\WINNT\SYSTEM32\COMMAND.COM 12 2" xfId="1233"/>
    <cellStyle name="=C:\WINNT\SYSTEM32\COMMAND.COM 12 3" xfId="48330"/>
    <cellStyle name="=C:\WINNT\SYSTEM32\COMMAND.COM 13" xfId="1234"/>
    <cellStyle name="=C:\WINNT\SYSTEM32\COMMAND.COM 13 2" xfId="48331"/>
    <cellStyle name="=C:\WINNT\SYSTEM32\COMMAND.COM 14" xfId="1235"/>
    <cellStyle name="=C:\WINNT\SYSTEM32\COMMAND.COM 14 2" xfId="48332"/>
    <cellStyle name="=C:\WINNT\SYSTEM32\COMMAND.COM 15" xfId="1236"/>
    <cellStyle name="=C:\WINNT\SYSTEM32\COMMAND.COM 15 2" xfId="48333"/>
    <cellStyle name="=C:\WINNT\SYSTEM32\COMMAND.COM 16" xfId="1237"/>
    <cellStyle name="=C:\WINNT\SYSTEM32\COMMAND.COM 16 2" xfId="48334"/>
    <cellStyle name="=C:\WINNT\SYSTEM32\COMMAND.COM 17" xfId="1238"/>
    <cellStyle name="=C:\WINNT\SYSTEM32\COMMAND.COM 17 2" xfId="48335"/>
    <cellStyle name="=C:\WINNT\SYSTEM32\COMMAND.COM 18" xfId="1239"/>
    <cellStyle name="=C:\WINNT\SYSTEM32\COMMAND.COM 18 2" xfId="48336"/>
    <cellStyle name="=C:\WINNT\SYSTEM32\COMMAND.COM 19" xfId="1240"/>
    <cellStyle name="=C:\WINNT\SYSTEM32\COMMAND.COM 19 2" xfId="48337"/>
    <cellStyle name="=C:\WINNT\SYSTEM32\COMMAND.COM 2" xfId="1241"/>
    <cellStyle name="=C:\WINNT\SYSTEM32\COMMAND.COM 2 10" xfId="49399"/>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 2 2" xfId="48340"/>
    <cellStyle name="=C:\WINNT\SYSTEM32\COMMAND.COM 2 2 2 3" xfId="48341"/>
    <cellStyle name="=C:\WINNT\SYSTEM32\COMMAND.COM 2 2 2 4" xfId="48339"/>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 2" xfId="48342"/>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49" xfId="48338"/>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3 2" xfId="48343"/>
    <cellStyle name="=C:\WINNT\SYSTEM32\COMMAND.COM 2 4" xfId="1292"/>
    <cellStyle name="=C:\WINNT\SYSTEM32\COMMAND.COM 2 4 2" xfId="49381"/>
    <cellStyle name="=C:\WINNT\SYSTEM32\COMMAND.COM 2 5" xfId="1293"/>
    <cellStyle name="=C:\WINNT\SYSTEM32\COMMAND.COM 2 5 2" xfId="49396"/>
    <cellStyle name="=C:\WINNT\SYSTEM32\COMMAND.COM 2 6" xfId="1294"/>
    <cellStyle name="=C:\WINNT\SYSTEM32\COMMAND.COM 2 6 2" xfId="49382"/>
    <cellStyle name="=C:\WINNT\SYSTEM32\COMMAND.COM 2 7" xfId="1295"/>
    <cellStyle name="=C:\WINNT\SYSTEM32\COMMAND.COM 2 7 2" xfId="49385"/>
    <cellStyle name="=C:\WINNT\SYSTEM32\COMMAND.COM 2 8" xfId="1296"/>
    <cellStyle name="=C:\WINNT\SYSTEM32\COMMAND.COM 2 8 2" xfId="49383"/>
    <cellStyle name="=C:\WINNT\SYSTEM32\COMMAND.COM 2 9" xfId="1297"/>
    <cellStyle name="=C:\WINNT\SYSTEM32\COMMAND.COM 2 9 2" xfId="49384"/>
    <cellStyle name="=C:\WINNT\SYSTEM32\COMMAND.COM 2_Opex Input" xfId="48344"/>
    <cellStyle name="=C:\WINNT\SYSTEM32\COMMAND.COM 20" xfId="1298"/>
    <cellStyle name="=C:\WINNT\SYSTEM32\COMMAND.COM 20 2" xfId="48345"/>
    <cellStyle name="=C:\WINNT\SYSTEM32\COMMAND.COM 21" xfId="1299"/>
    <cellStyle name="=C:\WINNT\SYSTEM32\COMMAND.COM 21 2" xfId="48346"/>
    <cellStyle name="=C:\WINNT\SYSTEM32\COMMAND.COM 22" xfId="1300"/>
    <cellStyle name="=C:\WINNT\SYSTEM32\COMMAND.COM 22 2" xfId="48347"/>
    <cellStyle name="=C:\WINNT\SYSTEM32\COMMAND.COM 23" xfId="1301"/>
    <cellStyle name="=C:\WINNT\SYSTEM32\COMMAND.COM 23 2" xfId="48349"/>
    <cellStyle name="=C:\WINNT\SYSTEM32\COMMAND.COM 23 3" xfId="48348"/>
    <cellStyle name="=C:\WINNT\SYSTEM32\COMMAND.COM 24" xfId="1302"/>
    <cellStyle name="=C:\WINNT\SYSTEM32\COMMAND.COM 24 2" xfId="48350"/>
    <cellStyle name="=C:\WINNT\SYSTEM32\COMMAND.COM 25" xfId="1303"/>
    <cellStyle name="=C:\WINNT\SYSTEM32\COMMAND.COM 25 2" xfId="48352"/>
    <cellStyle name="=C:\WINNT\SYSTEM32\COMMAND.COM 25 3" xfId="48353"/>
    <cellStyle name="=C:\WINNT\SYSTEM32\COMMAND.COM 25 4" xfId="48351"/>
    <cellStyle name="=C:\WINNT\SYSTEM32\COMMAND.COM 26" xfId="1304"/>
    <cellStyle name="=C:\WINNT\SYSTEM32\COMMAND.COM 26 2" xfId="48354"/>
    <cellStyle name="=C:\WINNT\SYSTEM32\COMMAND.COM 27" xfId="1305"/>
    <cellStyle name="=C:\WINNT\SYSTEM32\COMMAND.COM 27 2" xfId="48355"/>
    <cellStyle name="=C:\WINNT\SYSTEM32\COMMAND.COM 28" xfId="1306"/>
    <cellStyle name="=C:\WINNT\SYSTEM32\COMMAND.COM 28 2" xfId="48356"/>
    <cellStyle name="=C:\WINNT\SYSTEM32\COMMAND.COM 29" xfId="1307"/>
    <cellStyle name="=C:\WINNT\SYSTEM32\COMMAND.COM 29 2" xfId="4835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0 2" xfId="48358"/>
    <cellStyle name="=C:\WINNT\SYSTEM32\COMMAND.COM 31" xfId="1316"/>
    <cellStyle name="=C:\WINNT\SYSTEM32\COMMAND.COM 31 2" xfId="48359"/>
    <cellStyle name="=C:\WINNT\SYSTEM32\COMMAND.COM 32" xfId="1317"/>
    <cellStyle name="=C:\WINNT\SYSTEM32\COMMAND.COM 32 2" xfId="48360"/>
    <cellStyle name="=C:\WINNT\SYSTEM32\COMMAND.COM 33" xfId="1318"/>
    <cellStyle name="=C:\WINNT\SYSTEM32\COMMAND.COM 33 2" xfId="48361"/>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 2" xfId="48363"/>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 2" xfId="48364"/>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48" xfId="48362"/>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23" xfId="48365"/>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 4" xfId="48366"/>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7 5" xfId="48367"/>
    <cellStyle name="=C:\WINNT\SYSTEM32\COMMAND.COM 8" xfId="1581"/>
    <cellStyle name="=C:\WINNT\SYSTEM32\COMMAND.COM 8 2" xfId="48368"/>
    <cellStyle name="=C:\WINNT\SYSTEM32\COMMAND.COM 9" xfId="1582"/>
    <cellStyle name="=C:\WINNT\SYSTEM32\COMMAND.COM 9 2" xfId="48369"/>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48" xfId="48370"/>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2 8" xfId="48371"/>
    <cellStyle name="20% - Accent1 3" xfId="1669"/>
    <cellStyle name="20% - Accent1 3 2" xfId="1670"/>
    <cellStyle name="20% - Accent1 3 3" xfId="1671"/>
    <cellStyle name="20% - Accent1 3 4" xfId="48372"/>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2 8" xfId="48373"/>
    <cellStyle name="20% - Accent2 3" xfId="1699"/>
    <cellStyle name="20% - Accent2 3 2" xfId="1700"/>
    <cellStyle name="20% - Accent2 3 3" xfId="1701"/>
    <cellStyle name="20% - Accent2 3 4" xfId="48374"/>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2 8" xfId="48375"/>
    <cellStyle name="20% - Accent3 3" xfId="1729"/>
    <cellStyle name="20% - Accent3 3 2" xfId="1730"/>
    <cellStyle name="20% - Accent3 3 3" xfId="1731"/>
    <cellStyle name="20% - Accent3 3 4" xfId="48376"/>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2 8" xfId="48377"/>
    <cellStyle name="20% - Accent4 3" xfId="1759"/>
    <cellStyle name="20% - Accent4 3 2" xfId="1760"/>
    <cellStyle name="20% - Accent4 3 3" xfId="1761"/>
    <cellStyle name="20% - Accent4 3 4" xfId="48378"/>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2 8" xfId="48379"/>
    <cellStyle name="20% - Accent5 3" xfId="1789"/>
    <cellStyle name="20% - Accent5 3 2" xfId="1790"/>
    <cellStyle name="20% - Accent5 3 3" xfId="1791"/>
    <cellStyle name="20% - Accent5 3 4" xfId="48380"/>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2 8" xfId="48381"/>
    <cellStyle name="20% - Accent6 3" xfId="1819"/>
    <cellStyle name="20% - Accent6 3 2" xfId="1820"/>
    <cellStyle name="20% - Accent6 3 3" xfId="1821"/>
    <cellStyle name="20% - Accent6 3 4" xfId="48382"/>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2 8" xfId="48383"/>
    <cellStyle name="40% - Accent1 3" xfId="1855"/>
    <cellStyle name="40% - Accent1 3 2" xfId="1856"/>
    <cellStyle name="40% - Accent1 3 3" xfId="1857"/>
    <cellStyle name="40% - Accent1 3 4" xfId="48384"/>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2 8" xfId="48385"/>
    <cellStyle name="40% - Accent2 3" xfId="1885"/>
    <cellStyle name="40% - Accent2 3 2" xfId="1886"/>
    <cellStyle name="40% - Accent2 3 3" xfId="1887"/>
    <cellStyle name="40% - Accent2 3 4" xfId="48386"/>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2 8" xfId="48387"/>
    <cellStyle name="40% - Accent3 3" xfId="1915"/>
    <cellStyle name="40% - Accent3 3 2" xfId="1916"/>
    <cellStyle name="40% - Accent3 3 3" xfId="1917"/>
    <cellStyle name="40% - Accent3 3 4" xfId="48388"/>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2 8" xfId="48389"/>
    <cellStyle name="40% - Accent4 3" xfId="1945"/>
    <cellStyle name="40% - Accent4 3 2" xfId="1946"/>
    <cellStyle name="40% - Accent4 3 3" xfId="1947"/>
    <cellStyle name="40% - Accent4 3 4" xfId="48390"/>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2 8" xfId="48391"/>
    <cellStyle name="40% - Accent5 3" xfId="1975"/>
    <cellStyle name="40% - Accent5 3 2" xfId="1976"/>
    <cellStyle name="40% - Accent5 3 3" xfId="1977"/>
    <cellStyle name="40% - Accent5 3 4" xfId="48392"/>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2 8" xfId="48393"/>
    <cellStyle name="40% - Accent6 3" xfId="2005"/>
    <cellStyle name="40% - Accent6 3 2" xfId="2006"/>
    <cellStyle name="40% - Accent6 3 3" xfId="2007"/>
    <cellStyle name="40% - Accent6 3 4" xfId="48394"/>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2 8" xfId="48395"/>
    <cellStyle name="60% - Accent1 3" xfId="2035"/>
    <cellStyle name="60% - Accent1 3 2" xfId="2036"/>
    <cellStyle name="60% - Accent1 3 3" xfId="2037"/>
    <cellStyle name="60% - Accent1 3 4" xfId="48396"/>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2 8" xfId="48397"/>
    <cellStyle name="60% - Accent2 3" xfId="2065"/>
    <cellStyle name="60% - Accent2 3 2" xfId="2066"/>
    <cellStyle name="60% - Accent2 3 3" xfId="2067"/>
    <cellStyle name="60% - Accent2 3 4" xfId="48398"/>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2 8" xfId="48399"/>
    <cellStyle name="60% - Accent3 3" xfId="2095"/>
    <cellStyle name="60% - Accent3 3 2" xfId="2096"/>
    <cellStyle name="60% - Accent3 3 3" xfId="2097"/>
    <cellStyle name="60% - Accent3 3 4" xfId="48400"/>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2 8" xfId="48401"/>
    <cellStyle name="60% - Accent4 3" xfId="2125"/>
    <cellStyle name="60% - Accent4 3 2" xfId="2126"/>
    <cellStyle name="60% - Accent4 3 3" xfId="2127"/>
    <cellStyle name="60% - Accent4 3 4" xfId="48402"/>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2 8" xfId="48403"/>
    <cellStyle name="60% - Accent5 3" xfId="2155"/>
    <cellStyle name="60% - Accent5 3 2" xfId="2156"/>
    <cellStyle name="60% - Accent5 3 3" xfId="2157"/>
    <cellStyle name="60% - Accent5 3 4" xfId="48404"/>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2 8" xfId="48405"/>
    <cellStyle name="60% - Accent6 3" xfId="2185"/>
    <cellStyle name="60% - Accent6 3 2" xfId="2186"/>
    <cellStyle name="60% - Accent6 3 3" xfId="2187"/>
    <cellStyle name="60% - Accent6 3 4" xfId="48406"/>
    <cellStyle name="60% - Accent6 4" xfId="2188"/>
    <cellStyle name="60% - Accent6 5" xfId="2189"/>
    <cellStyle name="60% - Accent6 6" xfId="2190"/>
    <cellStyle name="60% - Accent6 7" xfId="2191"/>
    <cellStyle name="aaa" xfId="2192"/>
    <cellStyle name="Accent1 - 20%" xfId="11"/>
    <cellStyle name="Accent1 - 20% 2" xfId="2193"/>
    <cellStyle name="Accent1 - 20% 3" xfId="48407"/>
    <cellStyle name="Accent1 - 40%" xfId="12"/>
    <cellStyle name="Accent1 - 40% 2" xfId="2194"/>
    <cellStyle name="Accent1 - 40% 3" xfId="48408"/>
    <cellStyle name="Accent1 - 60%" xfId="13"/>
    <cellStyle name="Accent1 - 60% 2" xfId="48409"/>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2 8" xfId="48410"/>
    <cellStyle name="Accent1 3" xfId="2218"/>
    <cellStyle name="Accent1 3 2" xfId="2219"/>
    <cellStyle name="Accent1 3 3" xfId="2220"/>
    <cellStyle name="Accent1 3 4" xfId="48411"/>
    <cellStyle name="Accent1 4" xfId="2221"/>
    <cellStyle name="Accent1 5" xfId="2222"/>
    <cellStyle name="Accent1 6" xfId="2223"/>
    <cellStyle name="Accent1 7" xfId="2224"/>
    <cellStyle name="Accent2 - 20%" xfId="14"/>
    <cellStyle name="Accent2 - 20% 2" xfId="2225"/>
    <cellStyle name="Accent2 - 20% 3" xfId="48412"/>
    <cellStyle name="Accent2 - 40%" xfId="15"/>
    <cellStyle name="Accent2 - 40% 2" xfId="2226"/>
    <cellStyle name="Accent2 - 40% 3" xfId="48413"/>
    <cellStyle name="Accent2 - 60%" xfId="16"/>
    <cellStyle name="Accent2 - 60% 2" xfId="48414"/>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2 8" xfId="48415"/>
    <cellStyle name="Accent2 3" xfId="2250"/>
    <cellStyle name="Accent2 3 2" xfId="2251"/>
    <cellStyle name="Accent2 3 3" xfId="2252"/>
    <cellStyle name="Accent2 3 4" xfId="48416"/>
    <cellStyle name="Accent2 4" xfId="2253"/>
    <cellStyle name="Accent2 5" xfId="2254"/>
    <cellStyle name="Accent2 6" xfId="2255"/>
    <cellStyle name="Accent2 7" xfId="2256"/>
    <cellStyle name="Accent3 - 20%" xfId="17"/>
    <cellStyle name="Accent3 - 20% 2" xfId="2257"/>
    <cellStyle name="Accent3 - 20% 3" xfId="48417"/>
    <cellStyle name="Accent3 - 40%" xfId="18"/>
    <cellStyle name="Accent3 - 40% 2" xfId="2258"/>
    <cellStyle name="Accent3 - 40% 3" xfId="48418"/>
    <cellStyle name="Accent3 - 60%" xfId="19"/>
    <cellStyle name="Accent3 - 60% 2" xfId="484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2 8" xfId="48420"/>
    <cellStyle name="Accent3 3" xfId="2282"/>
    <cellStyle name="Accent3 3 2" xfId="2283"/>
    <cellStyle name="Accent3 3 3" xfId="2284"/>
    <cellStyle name="Accent3 3 4" xfId="48421"/>
    <cellStyle name="Accent3 4" xfId="2285"/>
    <cellStyle name="Accent3 5" xfId="2286"/>
    <cellStyle name="Accent3 6" xfId="2287"/>
    <cellStyle name="Accent3 7" xfId="2288"/>
    <cellStyle name="Accent4 - 20%" xfId="20"/>
    <cellStyle name="Accent4 - 20% 2" xfId="2289"/>
    <cellStyle name="Accent4 - 20% 3" xfId="48422"/>
    <cellStyle name="Accent4 - 40%" xfId="21"/>
    <cellStyle name="Accent4 - 40% 2" xfId="2290"/>
    <cellStyle name="Accent4 - 40% 3" xfId="48423"/>
    <cellStyle name="Accent4 - 60%" xfId="22"/>
    <cellStyle name="Accent4 - 60% 2" xfId="48424"/>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2 8" xfId="48425"/>
    <cellStyle name="Accent4 3" xfId="2314"/>
    <cellStyle name="Accent4 3 2" xfId="2315"/>
    <cellStyle name="Accent4 3 3" xfId="2316"/>
    <cellStyle name="Accent4 3 4" xfId="48426"/>
    <cellStyle name="Accent4 4" xfId="2317"/>
    <cellStyle name="Accent4 5" xfId="2318"/>
    <cellStyle name="Accent4 6" xfId="2319"/>
    <cellStyle name="Accent4 7" xfId="2320"/>
    <cellStyle name="Accent5 - 20%" xfId="23"/>
    <cellStyle name="Accent5 - 20% 2" xfId="2321"/>
    <cellStyle name="Accent5 - 20% 3" xfId="48427"/>
    <cellStyle name="Accent5 - 40%" xfId="24"/>
    <cellStyle name="Accent5 - 40% 2" xfId="2322"/>
    <cellStyle name="Accent5 - 40% 3" xfId="48428"/>
    <cellStyle name="Accent5 - 60%" xfId="25"/>
    <cellStyle name="Accent5 - 60% 2" xfId="48429"/>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2 8" xfId="48430"/>
    <cellStyle name="Accent5 3" xfId="2346"/>
    <cellStyle name="Accent5 3 2" xfId="2347"/>
    <cellStyle name="Accent5 3 3" xfId="2348"/>
    <cellStyle name="Accent5 3 4" xfId="48431"/>
    <cellStyle name="Accent5 4" xfId="2349"/>
    <cellStyle name="Accent5 5" xfId="2350"/>
    <cellStyle name="Accent5 6" xfId="2351"/>
    <cellStyle name="Accent5 7" xfId="2352"/>
    <cellStyle name="Accent6 - 20%" xfId="26"/>
    <cellStyle name="Accent6 - 20% 2" xfId="2353"/>
    <cellStyle name="Accent6 - 20% 3" xfId="48432"/>
    <cellStyle name="Accent6 - 40%" xfId="27"/>
    <cellStyle name="Accent6 - 40% 2" xfId="2354"/>
    <cellStyle name="Accent6 - 40% 3" xfId="48433"/>
    <cellStyle name="Accent6 - 60%" xfId="28"/>
    <cellStyle name="Accent6 - 60% 2" xfId="48434"/>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2 8" xfId="48435"/>
    <cellStyle name="Accent6 3" xfId="2378"/>
    <cellStyle name="Accent6 3 2" xfId="2379"/>
    <cellStyle name="Accent6 3 3" xfId="2380"/>
    <cellStyle name="Accent6 3 4" xfId="48436"/>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64" xfId="48437"/>
    <cellStyle name="Bad 2 7" xfId="2470"/>
    <cellStyle name="Bad 2 8" xfId="2471"/>
    <cellStyle name="Bad 2 9" xfId="2472"/>
    <cellStyle name="Bad 3" xfId="2473"/>
    <cellStyle name="Bad 3 10" xfId="2474"/>
    <cellStyle name="Bad 3 11" xfId="2475"/>
    <cellStyle name="Bad 3 12" xfId="2476"/>
    <cellStyle name="Bad 3 13" xfId="2477"/>
    <cellStyle name="Bad 3 14" xfId="48438"/>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2 2" xfId="50203"/>
    <cellStyle name="Calculation 2 2 2 3" xfId="2590"/>
    <cellStyle name="Calculation 2 2 2 3 2" xfId="51420"/>
    <cellStyle name="Calculation 2 2 2 4" xfId="49794"/>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 4" xfId="50572"/>
    <cellStyle name="Calculation 2 2 30" xfId="2604"/>
    <cellStyle name="Calculation 2 2 31" xfId="2605"/>
    <cellStyle name="Calculation 2 2 32" xfId="2606"/>
    <cellStyle name="Calculation 2 2 33" xfId="49466"/>
    <cellStyle name="Calculation 2 2 4" xfId="2607"/>
    <cellStyle name="Calculation 2 2 4 2" xfId="51349"/>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2 2" xfId="50089"/>
    <cellStyle name="Calculation 2 3 2 3" xfId="2636"/>
    <cellStyle name="Calculation 2 3 2 3 2" xfId="51599"/>
    <cellStyle name="Calculation 2 3 2 4" xfId="49921"/>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 4" xfId="50446"/>
    <cellStyle name="Calculation 2 3 30" xfId="2650"/>
    <cellStyle name="Calculation 2 3 31" xfId="2651"/>
    <cellStyle name="Calculation 2 3 32" xfId="2652"/>
    <cellStyle name="Calculation 2 3 33" xfId="49593"/>
    <cellStyle name="Calculation 2 3 4" xfId="2653"/>
    <cellStyle name="Calculation 2 3 4 2" xfId="51499"/>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37" xfId="48439"/>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2 2" xfId="50996"/>
    <cellStyle name="Calculation 2 4 2 3" xfId="2679"/>
    <cellStyle name="Calculation 2 4 2 3 2" xfId="51132"/>
    <cellStyle name="Calculation 2 4 2 4" xfId="49951"/>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 4" xfId="50057"/>
    <cellStyle name="Calculation 2 4 30" xfId="2693"/>
    <cellStyle name="Calculation 2 4 31" xfId="2694"/>
    <cellStyle name="Calculation 2 4 32" xfId="2695"/>
    <cellStyle name="Calculation 2 4 33" xfId="49623"/>
    <cellStyle name="Calculation 2 4 4" xfId="2696"/>
    <cellStyle name="Calculation 2 4 4 2" xfId="50897"/>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 4" xfId="50860"/>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 4" xfId="51371"/>
    <cellStyle name="Calculation 2 5 30" xfId="2729"/>
    <cellStyle name="Calculation 2 5 31" xfId="2730"/>
    <cellStyle name="Calculation 2 5 32" xfId="2731"/>
    <cellStyle name="Calculation 2 5 33" xfId="49629"/>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2 6" xfId="51011"/>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3 4" xfId="51407"/>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6 8" xfId="49966"/>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7 4" xfId="5089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8 4" xfId="50790"/>
    <cellStyle name="Calculation 2 9" xfId="2779"/>
    <cellStyle name="Calculation 2 9 2" xfId="2780"/>
    <cellStyle name="Calculation 2 9 3" xfId="51673"/>
    <cellStyle name="Calculation 3" xfId="2781"/>
    <cellStyle name="Calculation 3 10" xfId="48440"/>
    <cellStyle name="Calculation 3 2" xfId="2782"/>
    <cellStyle name="Calculation 3 2 2" xfId="2783"/>
    <cellStyle name="Calculation 3 2 2 2" xfId="50202"/>
    <cellStyle name="Calculation 3 2 2 3" xfId="51391"/>
    <cellStyle name="Calculation 3 2 2 4" xfId="49795"/>
    <cellStyle name="Calculation 3 2 3" xfId="50571"/>
    <cellStyle name="Calculation 3 2 4" xfId="51648"/>
    <cellStyle name="Calculation 3 2 5" xfId="49467"/>
    <cellStyle name="Calculation 3 3" xfId="2784"/>
    <cellStyle name="Calculation 3 3 2" xfId="2785"/>
    <cellStyle name="Calculation 3 3 2 2" xfId="50827"/>
    <cellStyle name="Calculation 3 3 2 3" xfId="51153"/>
    <cellStyle name="Calculation 3 3 2 4" xfId="49920"/>
    <cellStyle name="Calculation 3 3 3" xfId="50447"/>
    <cellStyle name="Calculation 3 3 4" xfId="51242"/>
    <cellStyle name="Calculation 3 3 5" xfId="49592"/>
    <cellStyle name="Calculation 3 4" xfId="2786"/>
    <cellStyle name="Calculation 3 4 2" xfId="49950"/>
    <cellStyle name="Calculation 3 4 2 2" xfId="50995"/>
    <cellStyle name="Calculation 3 4 2 3" xfId="50933"/>
    <cellStyle name="Calculation 3 4 3" xfId="50058"/>
    <cellStyle name="Calculation 3 4 4" xfId="50960"/>
    <cellStyle name="Calculation 3 4 5" xfId="49622"/>
    <cellStyle name="Calculation 3 5" xfId="49630"/>
    <cellStyle name="Calculation 3 5 2" xfId="50927"/>
    <cellStyle name="Calculation 3 5 3" xfId="51661"/>
    <cellStyle name="Calculation 3 6" xfId="50043"/>
    <cellStyle name="Calculation 3 6 2" xfId="51087"/>
    <cellStyle name="Calculation 3 6 3" xfId="51297"/>
    <cellStyle name="Calculation 3 7" xfId="50917"/>
    <cellStyle name="Calculation 3 8" xfId="50866"/>
    <cellStyle name="Calculation 3 9" xfId="51677"/>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2 8" xfId="48441"/>
    <cellStyle name="Check Cell 3" xfId="2819"/>
    <cellStyle name="Check Cell 3 2" xfId="2820"/>
    <cellStyle name="Check Cell 3 3" xfId="2821"/>
    <cellStyle name="Check Cell 3 4" xfId="48442"/>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 Underlined 2" xfId="48443"/>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1] 2" xfId="48445"/>
    <cellStyle name="Comma [1] 2 2" xfId="48446"/>
    <cellStyle name="Comma [1] 2 3" xfId="48447"/>
    <cellStyle name="Comma [1] 2 4" xfId="48448"/>
    <cellStyle name="Comma [1] 2 5" xfId="48449"/>
    <cellStyle name="Comma [1] 2 6" xfId="48450"/>
    <cellStyle name="Comma [1] 2 7" xfId="48451"/>
    <cellStyle name="Comma [1] 2 8" xfId="48452"/>
    <cellStyle name="Comma [1] 3" xfId="48444"/>
    <cellStyle name="Comma [2]" xfId="2851"/>
    <cellStyle name="Comma [3]" xfId="2852"/>
    <cellStyle name="Comma 0" xfId="2853"/>
    <cellStyle name="Comma 0*" xfId="2854"/>
    <cellStyle name="Comma 0_Model_Sep_2_02" xfId="2855"/>
    <cellStyle name="Comma 10" xfId="2856"/>
    <cellStyle name="Comma 10 2" xfId="50283"/>
    <cellStyle name="Comma 10 3" xfId="48453"/>
    <cellStyle name="Comma 11" xfId="2857"/>
    <cellStyle name="Comma 11 2" xfId="50061"/>
    <cellStyle name="Comma 11 3" xfId="48240"/>
    <cellStyle name="Comma 12" xfId="2858"/>
    <cellStyle name="Comma 12 2" xfId="50284"/>
    <cellStyle name="Comma 12 3" xfId="48454"/>
    <cellStyle name="Comma 13" xfId="2859"/>
    <cellStyle name="Comma 13 2" xfId="50285"/>
    <cellStyle name="Comma 13 3" xfId="48455"/>
    <cellStyle name="Comma 14" xfId="2860"/>
    <cellStyle name="Comma 14 2" xfId="50822"/>
    <cellStyle name="Comma 15" xfId="2861"/>
    <cellStyle name="Comma 15 2" xfId="50647"/>
    <cellStyle name="Comma 16" xfId="51138"/>
    <cellStyle name="Comma 17" xfId="2862"/>
    <cellStyle name="Comma 17 2" xfId="50789"/>
    <cellStyle name="Comma 18" xfId="2863"/>
    <cellStyle name="Comma 18 2" xfId="51207"/>
    <cellStyle name="Comma 19" xfId="51671"/>
    <cellStyle name="Comma 2" xfId="2"/>
    <cellStyle name="Comma 2 10" xfId="2864"/>
    <cellStyle name="Comma 2 10 10" xfId="2865"/>
    <cellStyle name="Comma 2 10 11" xfId="2866"/>
    <cellStyle name="Comma 2 10 12" xfId="2867"/>
    <cellStyle name="Comma 2 10 13" xfId="48457"/>
    <cellStyle name="Comma 2 10 2" xfId="2868"/>
    <cellStyle name="Comma 2 10 2 2" xfId="2869"/>
    <cellStyle name="Comma 2 10 2 3" xfId="2870"/>
    <cellStyle name="Comma 2 10 2 4" xfId="50287"/>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 2" xfId="50288"/>
    <cellStyle name="Comma 2 11 3" xfId="48458"/>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 2" xfId="50289"/>
    <cellStyle name="Comma 2 12 3" xfId="48459"/>
    <cellStyle name="Comma 2 120" xfId="2903"/>
    <cellStyle name="Comma 2 121" xfId="2904"/>
    <cellStyle name="Comma 2 122" xfId="2905"/>
    <cellStyle name="Comma 2 123" xfId="2906"/>
    <cellStyle name="Comma 2 124" xfId="2907"/>
    <cellStyle name="Comma 2 125" xfId="2908"/>
    <cellStyle name="Comma 2 126" xfId="2909"/>
    <cellStyle name="Comma 2 127" xfId="48456"/>
    <cellStyle name="Comma 2 13" xfId="2910"/>
    <cellStyle name="Comma 2 13 2" xfId="50290"/>
    <cellStyle name="Comma 2 13 3" xfId="48460"/>
    <cellStyle name="Comma 2 14" xfId="2911"/>
    <cellStyle name="Comma 2 14 2" xfId="50291"/>
    <cellStyle name="Comma 2 14 3" xfId="48461"/>
    <cellStyle name="Comma 2 15" xfId="2912"/>
    <cellStyle name="Comma 2 15 2" xfId="50292"/>
    <cellStyle name="Comma 2 15 3" xfId="48462"/>
    <cellStyle name="Comma 2 16" xfId="2913"/>
    <cellStyle name="Comma 2 16 2" xfId="50293"/>
    <cellStyle name="Comma 2 16 3" xfId="48463"/>
    <cellStyle name="Comma 2 17" xfId="2914"/>
    <cellStyle name="Comma 2 17 2" xfId="50294"/>
    <cellStyle name="Comma 2 17 3" xfId="48464"/>
    <cellStyle name="Comma 2 18" xfId="2915"/>
    <cellStyle name="Comma 2 18 2" xfId="50295"/>
    <cellStyle name="Comma 2 18 3" xfId="48465"/>
    <cellStyle name="Comma 2 19" xfId="2916"/>
    <cellStyle name="Comma 2 19 2" xfId="50296"/>
    <cellStyle name="Comma 2 19 3" xfId="48466"/>
    <cellStyle name="Comma 2 2" xfId="6"/>
    <cellStyle name="Comma 2 2 10" xfId="2917"/>
    <cellStyle name="Comma 2 2 10 2" xfId="50298"/>
    <cellStyle name="Comma 2 2 10 3" xfId="48468"/>
    <cellStyle name="Comma 2 2 11" xfId="2918"/>
    <cellStyle name="Comma 2 2 11 2" xfId="50299"/>
    <cellStyle name="Comma 2 2 11 3" xfId="48469"/>
    <cellStyle name="Comma 2 2 12" xfId="2919"/>
    <cellStyle name="Comma 2 2 12 2" xfId="50300"/>
    <cellStyle name="Comma 2 2 12 3" xfId="48470"/>
    <cellStyle name="Comma 2 2 13" xfId="2920"/>
    <cellStyle name="Comma 2 2 13 2" xfId="50301"/>
    <cellStyle name="Comma 2 2 13 3" xfId="48471"/>
    <cellStyle name="Comma 2 2 14" xfId="2921"/>
    <cellStyle name="Comma 2 2 14 2" xfId="50302"/>
    <cellStyle name="Comma 2 2 14 3" xfId="48472"/>
    <cellStyle name="Comma 2 2 15" xfId="2922"/>
    <cellStyle name="Comma 2 2 15 2" xfId="50303"/>
    <cellStyle name="Comma 2 2 15 3" xfId="48473"/>
    <cellStyle name="Comma 2 2 16" xfId="2923"/>
    <cellStyle name="Comma 2 2 16 2" xfId="50304"/>
    <cellStyle name="Comma 2 2 16 3" xfId="48474"/>
    <cellStyle name="Comma 2 2 17" xfId="2924"/>
    <cellStyle name="Comma 2 2 17 2" xfId="50305"/>
    <cellStyle name="Comma 2 2 17 3" xfId="48475"/>
    <cellStyle name="Comma 2 2 18" xfId="2925"/>
    <cellStyle name="Comma 2 2 18 2" xfId="50306"/>
    <cellStyle name="Comma 2 2 18 3" xfId="48476"/>
    <cellStyle name="Comma 2 2 19" xfId="2926"/>
    <cellStyle name="Comma 2 2 19 2" xfId="50307"/>
    <cellStyle name="Comma 2 2 19 3" xfId="48477"/>
    <cellStyle name="Comma 2 2 2" xfId="2927"/>
    <cellStyle name="Comma 2 2 2 10" xfId="2928"/>
    <cellStyle name="Comma 2 2 2 10 2" xfId="48479"/>
    <cellStyle name="Comma 2 2 2 11" xfId="2929"/>
    <cellStyle name="Comma 2 2 2 11 2" xfId="48480"/>
    <cellStyle name="Comma 2 2 2 12" xfId="2930"/>
    <cellStyle name="Comma 2 2 2 12 2" xfId="48481"/>
    <cellStyle name="Comma 2 2 2 13" xfId="2931"/>
    <cellStyle name="Comma 2 2 2 13 2" xfId="48482"/>
    <cellStyle name="Comma 2 2 2 14" xfId="2932"/>
    <cellStyle name="Comma 2 2 2 14 2" xfId="48483"/>
    <cellStyle name="Comma 2 2 2 15" xfId="2933"/>
    <cellStyle name="Comma 2 2 2 15 2" xfId="48484"/>
    <cellStyle name="Comma 2 2 2 16" xfId="48485"/>
    <cellStyle name="Comma 2 2 2 17" xfId="48486"/>
    <cellStyle name="Comma 2 2 2 18" xfId="48487"/>
    <cellStyle name="Comma 2 2 2 19" xfId="50308"/>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15" xfId="48488"/>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8 2" xfId="50319"/>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2 4" xfId="50327"/>
    <cellStyle name="Comma 2 2 2 2 4 3" xfId="3021"/>
    <cellStyle name="Comma 2 2 2 2 4 4" xfId="48489"/>
    <cellStyle name="Comma 2 2 2 2 5" xfId="3022"/>
    <cellStyle name="Comma 2 2 2 2 5 2" xfId="3023"/>
    <cellStyle name="Comma 2 2 2 2 5 2 2" xfId="3024"/>
    <cellStyle name="Comma 2 2 2 2 5 2 3" xfId="50328"/>
    <cellStyle name="Comma 2 2 2 2 5 3" xfId="48490"/>
    <cellStyle name="Comma 2 2 2 2 6" xfId="3025"/>
    <cellStyle name="Comma 2 2 2 2 6 2" xfId="50329"/>
    <cellStyle name="Comma 2 2 2 2 6 3" xfId="48491"/>
    <cellStyle name="Comma 2 2 2 2 7" xfId="3026"/>
    <cellStyle name="Comma 2 2 2 2 7 2" xfId="3027"/>
    <cellStyle name="Comma 2 2 2 2 7 2 2" xfId="50330"/>
    <cellStyle name="Comma 2 2 2 2 7 3" xfId="48492"/>
    <cellStyle name="Comma 2 2 2 2 8" xfId="48493"/>
    <cellStyle name="Comma 2 2 2 2 8 2" xfId="50331"/>
    <cellStyle name="Comma 2 2 2 20" xfId="48478"/>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5 2 2 2" xfId="50335"/>
    <cellStyle name="Comma 2 2 2 5 2 3" xfId="48494"/>
    <cellStyle name="Comma 2 2 2 5 3" xfId="48495"/>
    <cellStyle name="Comma 2 2 2 5 3 2" xfId="50336"/>
    <cellStyle name="Comma 2 2 2 5 4" xfId="48496"/>
    <cellStyle name="Comma 2 2 2 5 4 2" xfId="50337"/>
    <cellStyle name="Comma 2 2 2 5 5" xfId="48497"/>
    <cellStyle name="Comma 2 2 2 5 5 2" xfId="50338"/>
    <cellStyle name="Comma 2 2 2 5 6" xfId="48498"/>
    <cellStyle name="Comma 2 2 2 5 6 2" xfId="50339"/>
    <cellStyle name="Comma 2 2 2 5 7" xfId="48499"/>
    <cellStyle name="Comma 2 2 2 5 7 2" xfId="50340"/>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 9 2" xfId="48500"/>
    <cellStyle name="Comma 2 2 20" xfId="3055"/>
    <cellStyle name="Comma 2 2 20 2" xfId="50297"/>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14" xfId="48501"/>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 10" xfId="48502"/>
    <cellStyle name="Comma 2 2 4 2" xfId="48503"/>
    <cellStyle name="Comma 2 2 4 2 2" xfId="48504"/>
    <cellStyle name="Comma 2 2 4 2 2 2" xfId="50348"/>
    <cellStyle name="Comma 2 2 4 2 3" xfId="48505"/>
    <cellStyle name="Comma 2 2 4 2 3 2" xfId="50349"/>
    <cellStyle name="Comma 2 2 4 2 4" xfId="48506"/>
    <cellStyle name="Comma 2 2 4 2 4 2" xfId="50350"/>
    <cellStyle name="Comma 2 2 4 2 5" xfId="48507"/>
    <cellStyle name="Comma 2 2 4 2 5 2" xfId="50351"/>
    <cellStyle name="Comma 2 2 4 2 6" xfId="48508"/>
    <cellStyle name="Comma 2 2 4 2 6 2" xfId="50352"/>
    <cellStyle name="Comma 2 2 4 2 7" xfId="48509"/>
    <cellStyle name="Comma 2 2 4 2 7 2" xfId="50353"/>
    <cellStyle name="Comma 2 2 4 2 8" xfId="50347"/>
    <cellStyle name="Comma 2 2 4 3" xfId="48510"/>
    <cellStyle name="Comma 2 2 4 3 2" xfId="50354"/>
    <cellStyle name="Comma 2 2 4 4" xfId="48511"/>
    <cellStyle name="Comma 2 2 4 4 2" xfId="50355"/>
    <cellStyle name="Comma 2 2 4 5" xfId="48512"/>
    <cellStyle name="Comma 2 2 4 5 2" xfId="50356"/>
    <cellStyle name="Comma 2 2 4 6" xfId="48513"/>
    <cellStyle name="Comma 2 2 4 6 2" xfId="50357"/>
    <cellStyle name="Comma 2 2 4 7" xfId="48514"/>
    <cellStyle name="Comma 2 2 4 7 2" xfId="50358"/>
    <cellStyle name="Comma 2 2 4 8" xfId="48515"/>
    <cellStyle name="Comma 2 2 4 8 2" xfId="50359"/>
    <cellStyle name="Comma 2 2 4 9" xfId="50346"/>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 2" xfId="50360"/>
    <cellStyle name="Comma 2 2 5 3" xfId="48516"/>
    <cellStyle name="Comma 2 2 50" xfId="3123"/>
    <cellStyle name="Comma 2 2 50 2" xfId="3124"/>
    <cellStyle name="Comma 2 2 50 2 2" xfId="3125"/>
    <cellStyle name="Comma 2 2 51" xfId="3126"/>
    <cellStyle name="Comma 2 2 52" xfId="3127"/>
    <cellStyle name="Comma 2 2 52 2" xfId="3128"/>
    <cellStyle name="Comma 2 2 53" xfId="48467"/>
    <cellStyle name="Comma 2 2 6" xfId="3129"/>
    <cellStyle name="Comma 2 2 6 2" xfId="48518"/>
    <cellStyle name="Comma 2 2 6 2 2" xfId="50362"/>
    <cellStyle name="Comma 2 2 6 3" xfId="48519"/>
    <cellStyle name="Comma 2 2 6 3 2" xfId="50363"/>
    <cellStyle name="Comma 2 2 6 4" xfId="48520"/>
    <cellStyle name="Comma 2 2 6 4 2" xfId="50364"/>
    <cellStyle name="Comma 2 2 6 5" xfId="48521"/>
    <cellStyle name="Comma 2 2 6 5 2" xfId="50365"/>
    <cellStyle name="Comma 2 2 6 6" xfId="48522"/>
    <cellStyle name="Comma 2 2 6 6 2" xfId="50366"/>
    <cellStyle name="Comma 2 2 6 7" xfId="48523"/>
    <cellStyle name="Comma 2 2 6 7 2" xfId="50367"/>
    <cellStyle name="Comma 2 2 6 8" xfId="50361"/>
    <cellStyle name="Comma 2 2 6 9" xfId="48517"/>
    <cellStyle name="Comma 2 2 7" xfId="3130"/>
    <cellStyle name="Comma 2 2 7 2" xfId="50368"/>
    <cellStyle name="Comma 2 2 7 3" xfId="48524"/>
    <cellStyle name="Comma 2 2 8" xfId="3131"/>
    <cellStyle name="Comma 2 2 8 2" xfId="50369"/>
    <cellStyle name="Comma 2 2 8 3" xfId="48525"/>
    <cellStyle name="Comma 2 2 9" xfId="3132"/>
    <cellStyle name="Comma 2 2 9 2" xfId="50370"/>
    <cellStyle name="Comma 2 2 9 3" xfId="48526"/>
    <cellStyle name="Comma 2 2_3.1.2 DB Pension Detail" xfId="3133"/>
    <cellStyle name="Comma 2 20" xfId="3134"/>
    <cellStyle name="Comma 2 20 2" xfId="50372"/>
    <cellStyle name="Comma 2 20 3" xfId="48527"/>
    <cellStyle name="Comma 2 21" xfId="3135"/>
    <cellStyle name="Comma 2 21 2" xfId="50848"/>
    <cellStyle name="Comma 2 21 3" xfId="49398"/>
    <cellStyle name="Comma 2 22" xfId="3136"/>
    <cellStyle name="Comma 2 22 2" xfId="5028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16" xfId="48530"/>
    <cellStyle name="Comma 2 3 2 2 2" xfId="3163"/>
    <cellStyle name="Comma 2 3 2 2 2 2" xfId="50375"/>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 3" xfId="50374"/>
    <cellStyle name="Comma 2 3 2 4" xfId="48529"/>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14" xfId="48531"/>
    <cellStyle name="Comma 2 3 3 2" xfId="3189"/>
    <cellStyle name="Comma 2 3 3 2 2" xfId="50376"/>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 2" xfId="50373"/>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49" xfId="48528"/>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18" xfId="50377"/>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79" xfId="48532"/>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 2" xfId="50378"/>
    <cellStyle name="Comma 2 5 3" xfId="48533"/>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 2" xfId="50379"/>
    <cellStyle name="Comma 2 6 3" xfId="48534"/>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 2" xfId="50380"/>
    <cellStyle name="Comma 2 7 3" xfId="48535"/>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 2" xfId="50381"/>
    <cellStyle name="Comma 2 8 3" xfId="48536"/>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 2" xfId="50382"/>
    <cellStyle name="Comma 2 9 3" xfId="48537"/>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20" xfId="50775"/>
    <cellStyle name="Comma 21" xfId="51682"/>
    <cellStyle name="Comma 22" xfId="51337"/>
    <cellStyle name="Comma 23" xfId="51676"/>
    <cellStyle name="Comma 24" xfId="50769"/>
    <cellStyle name="Comma 25" xfId="51672"/>
    <cellStyle name="Comma 26" xfId="51209"/>
    <cellStyle name="Comma 27" xfId="50931"/>
    <cellStyle name="Comma 28" xfId="49373"/>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27" xfId="48538"/>
    <cellStyle name="Comma 3 13" xfId="3458"/>
    <cellStyle name="Comma 3 13 2" xfId="50828"/>
    <cellStyle name="Comma 3 13 3" xfId="49374"/>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15" xfId="48540"/>
    <cellStyle name="Comma 3 2 2 2" xfId="3472"/>
    <cellStyle name="Comma 3 2 2 2 2" xfId="50385"/>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3 2 2" xfId="50386"/>
    <cellStyle name="Comma 3 2 3 3" xfId="48541"/>
    <cellStyle name="Comma 3 2 4" xfId="3482"/>
    <cellStyle name="Comma 3 2 4 2" xfId="50384"/>
    <cellStyle name="Comma 3 2 5" xfId="3483"/>
    <cellStyle name="Comma 3 2 6" xfId="48539"/>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2 2 2" xfId="50829"/>
    <cellStyle name="Comma 3 3 2 3" xfId="49375"/>
    <cellStyle name="Comma 3 3 3" xfId="3498"/>
    <cellStyle name="Comma 3 3 3 2" xfId="50387"/>
    <cellStyle name="Comma 3 3 4" xfId="3499"/>
    <cellStyle name="Comma 3 3 5" xfId="48542"/>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 2" xfId="50383"/>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10" xfId="50388"/>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79" xfId="48543"/>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18" xfId="50389"/>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79" xfId="48544"/>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14" xfId="50063"/>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24" xfId="4824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14" xfId="48545"/>
    <cellStyle name="Comma 7 2" xfId="4126"/>
    <cellStyle name="Comma 7 2 2" xfId="50390"/>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8 2" xfId="48547"/>
    <cellStyle name="Comma 8 2 2" xfId="50392"/>
    <cellStyle name="Comma 8 3" xfId="48548"/>
    <cellStyle name="Comma 8 3 2" xfId="50393"/>
    <cellStyle name="Comma 8 4" xfId="50391"/>
    <cellStyle name="Comma 8 5" xfId="48546"/>
    <cellStyle name="Comma 9" xfId="4135"/>
    <cellStyle name="Comma 9 2" xfId="50394"/>
    <cellStyle name="Comma 9 3" xfId="48549"/>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1 2" xfId="48550"/>
    <cellStyle name="Emphasis 2" xfId="30"/>
    <cellStyle name="Emphasis 2 2" xfId="48551"/>
    <cellStyle name="Emphasis 3" xfId="31"/>
    <cellStyle name="Emphasis 3 2" xfId="48552"/>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4" xfId="48553"/>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2 8" xfId="48554"/>
    <cellStyle name="Explanatory Text 3" xfId="4274"/>
    <cellStyle name="Explanatory Text 3 2" xfId="4275"/>
    <cellStyle name="Explanatory Text 3 3" xfId="4276"/>
    <cellStyle name="Explanatory Text 3 4" xfId="48555"/>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2 8" xfId="48556"/>
    <cellStyle name="Good 3" xfId="4357"/>
    <cellStyle name="Good 3 2" xfId="4358"/>
    <cellStyle name="Good 3 3" xfId="4359"/>
    <cellStyle name="Good 3 4" xfId="48557"/>
    <cellStyle name="Good 4" xfId="4360"/>
    <cellStyle name="Good 5" xfId="4361"/>
    <cellStyle name="Good 6" xfId="4362"/>
    <cellStyle name="Good 7" xfId="4363"/>
    <cellStyle name="gray text cells" xfId="4364"/>
    <cellStyle name="Grey" xfId="4365"/>
    <cellStyle name="GreyOrWhite" xfId="4366"/>
    <cellStyle name="GreyOrWhite 2" xfId="48559"/>
    <cellStyle name="GreyOrWhite 2 2" xfId="48560"/>
    <cellStyle name="GreyOrWhite 2 3" xfId="48561"/>
    <cellStyle name="GreyOrWhite 2 4" xfId="48562"/>
    <cellStyle name="GreyOrWhite 2 5" xfId="48563"/>
    <cellStyle name="GreyOrWhite 2 6" xfId="48564"/>
    <cellStyle name="GreyOrWhite 2 7" xfId="48565"/>
    <cellStyle name="GreyOrWhite 2 8" xfId="48566"/>
    <cellStyle name="GreyOrWhite 3" xfId="48558"/>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2 8" xfId="48567"/>
    <cellStyle name="Heading 1 3" xfId="4396"/>
    <cellStyle name="Heading 1 3 2" xfId="4397"/>
    <cellStyle name="Heading 1 3 3" xfId="4398"/>
    <cellStyle name="Heading 1 3 4" xfId="4856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2 8" xfId="48569"/>
    <cellStyle name="Heading 2 3" xfId="4426"/>
    <cellStyle name="Heading 2 3 2" xfId="4427"/>
    <cellStyle name="Heading 2 3 3" xfId="4428"/>
    <cellStyle name="Heading 2 3 4" xfId="48570"/>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2 8" xfId="48571"/>
    <cellStyle name="Heading 3 3" xfId="4456"/>
    <cellStyle name="Heading 3 3 2" xfId="4457"/>
    <cellStyle name="Heading 3 3 3" xfId="4458"/>
    <cellStyle name="Heading 3 3 4" xfId="48572"/>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2 8" xfId="48573"/>
    <cellStyle name="Heading 4 3" xfId="4486"/>
    <cellStyle name="Heading 4 3 2" xfId="4487"/>
    <cellStyle name="Heading 4 3 3" xfId="4488"/>
    <cellStyle name="Heading 4 3 4" xfId="48574"/>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2 2" xfId="50201"/>
    <cellStyle name="Input 2 2 2 3" xfId="4589"/>
    <cellStyle name="Input 2 2 2 3 2" xfId="51667"/>
    <cellStyle name="Input 2 2 2 4" xfId="49796"/>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 4" xfId="50570"/>
    <cellStyle name="Input 2 2 30" xfId="4603"/>
    <cellStyle name="Input 2 2 31" xfId="4604"/>
    <cellStyle name="Input 2 2 32" xfId="4605"/>
    <cellStyle name="Input 2 2 33" xfId="49468"/>
    <cellStyle name="Input 2 2 4" xfId="4606"/>
    <cellStyle name="Input 2 2 4 2" xfId="50872"/>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2 2" xfId="50196"/>
    <cellStyle name="Input 2 3 2 3" xfId="4635"/>
    <cellStyle name="Input 2 3 2 3 2" xfId="51168"/>
    <cellStyle name="Input 2 3 2 4" xfId="49801"/>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 4" xfId="50565"/>
    <cellStyle name="Input 2 3 30" xfId="4649"/>
    <cellStyle name="Input 2 3 31" xfId="4650"/>
    <cellStyle name="Input 2 3 32" xfId="4651"/>
    <cellStyle name="Input 2 3 33" xfId="49473"/>
    <cellStyle name="Input 2 3 4" xfId="4652"/>
    <cellStyle name="Input 2 3 4 2" xfId="51350"/>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37" xfId="48575"/>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2 2" xfId="50199"/>
    <cellStyle name="Input 2 4 2 3" xfId="4678"/>
    <cellStyle name="Input 2 4 2 3 2" xfId="51523"/>
    <cellStyle name="Input 2 4 2 4" xfId="4979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 4" xfId="50568"/>
    <cellStyle name="Input 2 4 30" xfId="4692"/>
    <cellStyle name="Input 2 4 31" xfId="4693"/>
    <cellStyle name="Input 2 4 32" xfId="4694"/>
    <cellStyle name="Input 2 4 33" xfId="49470"/>
    <cellStyle name="Input 2 4 4" xfId="4695"/>
    <cellStyle name="Input 2 4 4 2" xfId="51489"/>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 4" xfId="50861"/>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 4" xfId="50968"/>
    <cellStyle name="Input 2 5 30" xfId="4728"/>
    <cellStyle name="Input 2 5 31" xfId="4729"/>
    <cellStyle name="Input 2 5 32" xfId="4730"/>
    <cellStyle name="Input 2 5 33" xfId="49631"/>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2 6" xfId="51086"/>
    <cellStyle name="Input 2 6 3" xfId="4749"/>
    <cellStyle name="Input 2 6 3 2" xfId="4750"/>
    <cellStyle name="Input 2 6 3 2 2" xfId="4751"/>
    <cellStyle name="Input 2 6 3 2 2 2" xfId="4752"/>
    <cellStyle name="Input 2 6 3 2 3" xfId="4753"/>
    <cellStyle name="Input 2 6 3 3" xfId="4754"/>
    <cellStyle name="Input 2 6 3 4" xfId="51130"/>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6 8" xfId="50042"/>
    <cellStyle name="Input 2 7" xfId="4764"/>
    <cellStyle name="Input 2 7 2" xfId="4765"/>
    <cellStyle name="Input 2 7 2 2" xfId="4766"/>
    <cellStyle name="Input 2 7 2 2 2" xfId="4767"/>
    <cellStyle name="Input 2 7 2 2 3" xfId="4768"/>
    <cellStyle name="Input 2 7 2 3" xfId="4769"/>
    <cellStyle name="Input 2 7 3" xfId="4770"/>
    <cellStyle name="Input 2 7 4" xfId="50918"/>
    <cellStyle name="Input 2 8" xfId="4771"/>
    <cellStyle name="Input 2 8 2" xfId="4772"/>
    <cellStyle name="Input 2 8 2 2" xfId="4773"/>
    <cellStyle name="Input 2 8 2 2 2" xfId="4774"/>
    <cellStyle name="Input 2 8 2 2 3" xfId="4775"/>
    <cellStyle name="Input 2 8 2 3" xfId="4776"/>
    <cellStyle name="Input 2 8 3" xfId="4777"/>
    <cellStyle name="Input 2 8 4" xfId="50773"/>
    <cellStyle name="Input 2 9" xfId="4778"/>
    <cellStyle name="Input 2 9 2" xfId="4779"/>
    <cellStyle name="Input 2 9 3" xfId="51675"/>
    <cellStyle name="Input 3" xfId="4780"/>
    <cellStyle name="Input 3 10" xfId="48576"/>
    <cellStyle name="Input 3 2" xfId="4781"/>
    <cellStyle name="Input 3 2 2" xfId="4782"/>
    <cellStyle name="Input 3 2 2 2" xfId="50200"/>
    <cellStyle name="Input 3 2 2 3" xfId="51265"/>
    <cellStyle name="Input 3 2 2 4" xfId="49797"/>
    <cellStyle name="Input 3 2 3" xfId="50569"/>
    <cellStyle name="Input 3 2 4" xfId="51232"/>
    <cellStyle name="Input 3 2 5" xfId="49469"/>
    <cellStyle name="Input 3 3" xfId="4783"/>
    <cellStyle name="Input 3 3 2" xfId="4784"/>
    <cellStyle name="Input 3 3 2 2" xfId="50197"/>
    <cellStyle name="Input 3 3 2 3" xfId="51521"/>
    <cellStyle name="Input 3 3 2 4" xfId="49800"/>
    <cellStyle name="Input 3 3 3" xfId="50566"/>
    <cellStyle name="Input 3 3 4" xfId="51456"/>
    <cellStyle name="Input 3 3 5" xfId="49472"/>
    <cellStyle name="Input 3 4" xfId="4785"/>
    <cellStyle name="Input 3 4 2" xfId="49799"/>
    <cellStyle name="Input 3 4 2 2" xfId="50198"/>
    <cellStyle name="Input 3 4 2 3" xfId="51263"/>
    <cellStyle name="Input 3 4 3" xfId="50567"/>
    <cellStyle name="Input 3 4 4" xfId="51198"/>
    <cellStyle name="Input 3 4 5" xfId="49471"/>
    <cellStyle name="Input 3 5" xfId="49632"/>
    <cellStyle name="Input 3 5 2" xfId="50924"/>
    <cellStyle name="Input 3 5 3" xfId="51176"/>
    <cellStyle name="Input 3 6" xfId="50041"/>
    <cellStyle name="Input 3 6 2" xfId="51085"/>
    <cellStyle name="Input 3 6 3" xfId="51417"/>
    <cellStyle name="Input 3 7" xfId="50851"/>
    <cellStyle name="Input 3 8" xfId="50770"/>
    <cellStyle name="Input 3 9" xfId="51679"/>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Data 2" xfId="48577"/>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evel 4" xfId="48238"/>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2 8" xfId="48578"/>
    <cellStyle name="Linked Cell 3" xfId="4838"/>
    <cellStyle name="Linked Cell 3 2" xfId="4839"/>
    <cellStyle name="Linked Cell 3 3" xfId="4840"/>
    <cellStyle name="Linked Cell 3 4" xfId="48579"/>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2 8" xfId="48580"/>
    <cellStyle name="Neutral 3" xfId="4914"/>
    <cellStyle name="Neutral 3 2" xfId="4915"/>
    <cellStyle name="Neutral 3 3" xfId="4916"/>
    <cellStyle name="Neutral 3 4" xfId="48581"/>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26" xfId="4858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28" xfId="48582"/>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27" xfId="4858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27" xfId="4858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26" xfId="48586"/>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72" xfId="48587"/>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71" xfId="48588"/>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71" xfId="48589"/>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71" xfId="48590"/>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79" xfId="48592"/>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 2" xfId="48593"/>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 2" xfId="48594"/>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 2" xfId="48595"/>
    <cellStyle name="Normal 2 130" xfId="7097"/>
    <cellStyle name="Normal 2 131" xfId="48591"/>
    <cellStyle name="Normal 2 14" xfId="7098"/>
    <cellStyle name="Normal 2 14 2" xfId="48596"/>
    <cellStyle name="Normal 2 15" xfId="7099"/>
    <cellStyle name="Normal 2 15 2" xfId="48597"/>
    <cellStyle name="Normal 2 16" xfId="7100"/>
    <cellStyle name="Normal 2 16 2" xfId="48598"/>
    <cellStyle name="Normal 2 17" xfId="7101"/>
    <cellStyle name="Normal 2 17 2" xfId="48599"/>
    <cellStyle name="Normal 2 18" xfId="7102"/>
    <cellStyle name="Normal 2 18 2" xfId="48600"/>
    <cellStyle name="Normal 2 19" xfId="7103"/>
    <cellStyle name="Normal 2 19 2" xfId="48601"/>
    <cellStyle name="Normal 2 2" xfId="4"/>
    <cellStyle name="Normal 2 2 10" xfId="7104"/>
    <cellStyle name="Normal 2 2 10 10" xfId="7105"/>
    <cellStyle name="Normal 2 2 10 2" xfId="48603"/>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 2" xfId="48605"/>
    <cellStyle name="Normal 2 2 11 2 2" xfId="48606"/>
    <cellStyle name="Normal 2 2 11 2 3" xfId="48607"/>
    <cellStyle name="Normal 2 2 11 2 4" xfId="48608"/>
    <cellStyle name="Normal 2 2 11 2 5" xfId="48609"/>
    <cellStyle name="Normal 2 2 11 2 6" xfId="48610"/>
    <cellStyle name="Normal 2 2 11 2 7" xfId="48611"/>
    <cellStyle name="Normal 2 2 11 3" xfId="48612"/>
    <cellStyle name="Normal 2 2 11 4" xfId="48613"/>
    <cellStyle name="Normal 2 2 11 5" xfId="48614"/>
    <cellStyle name="Normal 2 2 11 6" xfId="48615"/>
    <cellStyle name="Normal 2 2 11 7" xfId="48616"/>
    <cellStyle name="Normal 2 2 11 8" xfId="48617"/>
    <cellStyle name="Normal 2 2 11 9" xfId="48604"/>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 2" xfId="48618"/>
    <cellStyle name="Normal 2 2 120" xfId="7128"/>
    <cellStyle name="Normal 2 2 121" xfId="7129"/>
    <cellStyle name="Normal 2 2 122" xfId="7130"/>
    <cellStyle name="Normal 2 2 123" xfId="7131"/>
    <cellStyle name="Normal 2 2 124" xfId="48602"/>
    <cellStyle name="Normal 2 2 13" xfId="7132"/>
    <cellStyle name="Normal 2 2 13 2" xfId="48620"/>
    <cellStyle name="Normal 2 2 13 3" xfId="48621"/>
    <cellStyle name="Normal 2 2 13 4" xfId="48622"/>
    <cellStyle name="Normal 2 2 13 5" xfId="48623"/>
    <cellStyle name="Normal 2 2 13 6" xfId="48624"/>
    <cellStyle name="Normal 2 2 13 7" xfId="48625"/>
    <cellStyle name="Normal 2 2 13 8" xfId="48619"/>
    <cellStyle name="Normal 2 2 14" xfId="7133"/>
    <cellStyle name="Normal 2 2 14 2" xfId="48626"/>
    <cellStyle name="Normal 2 2 15" xfId="7134"/>
    <cellStyle name="Normal 2 2 15 2" xfId="48627"/>
    <cellStyle name="Normal 2 2 16" xfId="7135"/>
    <cellStyle name="Normal 2 2 16 2" xfId="48628"/>
    <cellStyle name="Normal 2 2 17" xfId="7136"/>
    <cellStyle name="Normal 2 2 17 2" xfId="48629"/>
    <cellStyle name="Normal 2 2 18" xfId="7137"/>
    <cellStyle name="Normal 2 2 18 2" xfId="48630"/>
    <cellStyle name="Normal 2 2 19" xfId="7138"/>
    <cellStyle name="Normal 2 2 19 2" xfId="48631"/>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18" xfId="48633"/>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1 2" xfId="48635"/>
    <cellStyle name="Normal 2 2 2 11 2 2" xfId="48636"/>
    <cellStyle name="Normal 2 2 2 11 2 3" xfId="48637"/>
    <cellStyle name="Normal 2 2 2 11 2 4" xfId="48638"/>
    <cellStyle name="Normal 2 2 2 11 2 5" xfId="48639"/>
    <cellStyle name="Normal 2 2 2 11 2 6" xfId="48640"/>
    <cellStyle name="Normal 2 2 2 11 2 7" xfId="48641"/>
    <cellStyle name="Normal 2 2 2 11 3" xfId="48642"/>
    <cellStyle name="Normal 2 2 2 11 4" xfId="48643"/>
    <cellStyle name="Normal 2 2 2 11 5" xfId="48644"/>
    <cellStyle name="Normal 2 2 2 11 6" xfId="48645"/>
    <cellStyle name="Normal 2 2 2 11 7" xfId="48646"/>
    <cellStyle name="Normal 2 2 2 11 8" xfId="48647"/>
    <cellStyle name="Normal 2 2 2 11 9" xfId="48634"/>
    <cellStyle name="Normal 2 2 2 12" xfId="7158"/>
    <cellStyle name="Normal 2 2 2 12 2" xfId="48648"/>
    <cellStyle name="Normal 2 2 2 13" xfId="7159"/>
    <cellStyle name="Normal 2 2 2 13 2" xfId="48650"/>
    <cellStyle name="Normal 2 2 2 13 3" xfId="48651"/>
    <cellStyle name="Normal 2 2 2 13 4" xfId="48652"/>
    <cellStyle name="Normal 2 2 2 13 5" xfId="48653"/>
    <cellStyle name="Normal 2 2 2 13 6" xfId="48654"/>
    <cellStyle name="Normal 2 2 2 13 7" xfId="48655"/>
    <cellStyle name="Normal 2 2 2 13 8" xfId="48649"/>
    <cellStyle name="Normal 2 2 2 14" xfId="7160"/>
    <cellStyle name="Normal 2 2 2 14 2" xfId="48656"/>
    <cellStyle name="Normal 2 2 2 15" xfId="7161"/>
    <cellStyle name="Normal 2 2 2 15 2" xfId="48657"/>
    <cellStyle name="Normal 2 2 2 16" xfId="7162"/>
    <cellStyle name="Normal 2 2 2 16 2" xfId="48658"/>
    <cellStyle name="Normal 2 2 2 17" xfId="7163"/>
    <cellStyle name="Normal 2 2 2 17 2" xfId="48659"/>
    <cellStyle name="Normal 2 2 2 18" xfId="7164"/>
    <cellStyle name="Normal 2 2 2 18 2" xfId="48660"/>
    <cellStyle name="Normal 2 2 2 19" xfId="7165"/>
    <cellStyle name="Normal 2 2 2 19 2" xfId="48661"/>
    <cellStyle name="Normal 2 2 2 2" xfId="7166"/>
    <cellStyle name="Normal 2 2 2 2 10" xfId="7167"/>
    <cellStyle name="Normal 2 2 2 2 10 2" xfId="48663"/>
    <cellStyle name="Normal 2 2 2 2 11" xfId="7168"/>
    <cellStyle name="Normal 2 2 2 2 11 2" xfId="48665"/>
    <cellStyle name="Normal 2 2 2 2 11 3" xfId="48666"/>
    <cellStyle name="Normal 2 2 2 2 11 4" xfId="48667"/>
    <cellStyle name="Normal 2 2 2 2 11 5" xfId="48668"/>
    <cellStyle name="Normal 2 2 2 2 11 6" xfId="48669"/>
    <cellStyle name="Normal 2 2 2 2 11 7" xfId="48670"/>
    <cellStyle name="Normal 2 2 2 2 11 8" xfId="48664"/>
    <cellStyle name="Normal 2 2 2 2 12" xfId="7169"/>
    <cellStyle name="Normal 2 2 2 2 12 2" xfId="48671"/>
    <cellStyle name="Normal 2 2 2 2 13" xfId="7170"/>
    <cellStyle name="Normal 2 2 2 2 13 2" xfId="48672"/>
    <cellStyle name="Normal 2 2 2 2 14" xfId="7171"/>
    <cellStyle name="Normal 2 2 2 2 14 2" xfId="48673"/>
    <cellStyle name="Normal 2 2 2 2 15" xfId="7172"/>
    <cellStyle name="Normal 2 2 2 2 15 2" xfId="48674"/>
    <cellStyle name="Normal 2 2 2 2 16" xfId="7173"/>
    <cellStyle name="Normal 2 2 2 2 16 2" xfId="48675"/>
    <cellStyle name="Normal 2 2 2 2 17" xfId="7174"/>
    <cellStyle name="Normal 2 2 2 2 17 2" xfId="48676"/>
    <cellStyle name="Normal 2 2 2 2 18" xfId="7175"/>
    <cellStyle name="Normal 2 2 2 2 18 2" xfId="48677"/>
    <cellStyle name="Normal 2 2 2 2 19" xfId="7176"/>
    <cellStyle name="Normal 2 2 2 2 19 2" xfId="48678"/>
    <cellStyle name="Normal 2 2 2 2 2" xfId="7177"/>
    <cellStyle name="Normal 2 2 2 2 2 10" xfId="7178"/>
    <cellStyle name="Normal 2 2 2 2 2 10 2" xfId="48680"/>
    <cellStyle name="Normal 2 2 2 2 2 11" xfId="7179"/>
    <cellStyle name="Normal 2 2 2 2 2 11 2" xfId="48682"/>
    <cellStyle name="Normal 2 2 2 2 2 11 3" xfId="48683"/>
    <cellStyle name="Normal 2 2 2 2 2 11 4" xfId="48684"/>
    <cellStyle name="Normal 2 2 2 2 2 11 5" xfId="48685"/>
    <cellStyle name="Normal 2 2 2 2 2 11 6" xfId="48686"/>
    <cellStyle name="Normal 2 2 2 2 2 11 7" xfId="48687"/>
    <cellStyle name="Normal 2 2 2 2 2 11 8" xfId="48681"/>
    <cellStyle name="Normal 2 2 2 2 2 12" xfId="7180"/>
    <cellStyle name="Normal 2 2 2 2 2 12 2" xfId="48688"/>
    <cellStyle name="Normal 2 2 2 2 2 13" xfId="7181"/>
    <cellStyle name="Normal 2 2 2 2 2 13 2" xfId="48689"/>
    <cellStyle name="Normal 2 2 2 2 2 14" xfId="7182"/>
    <cellStyle name="Normal 2 2 2 2 2 14 2" xfId="48690"/>
    <cellStyle name="Normal 2 2 2 2 2 15" xfId="7183"/>
    <cellStyle name="Normal 2 2 2 2 2 15 2" xfId="48691"/>
    <cellStyle name="Normal 2 2 2 2 2 16" xfId="7184"/>
    <cellStyle name="Normal 2 2 2 2 2 16 2" xfId="48692"/>
    <cellStyle name="Normal 2 2 2 2 2 17" xfId="7185"/>
    <cellStyle name="Normal 2 2 2 2 2 17 2" xfId="48693"/>
    <cellStyle name="Normal 2 2 2 2 2 18" xfId="7186"/>
    <cellStyle name="Normal 2 2 2 2 2 18 2" xfId="48694"/>
    <cellStyle name="Normal 2 2 2 2 2 19" xfId="7187"/>
    <cellStyle name="Normal 2 2 2 2 2 19 2" xfId="48695"/>
    <cellStyle name="Normal 2 2 2 2 2 2" xfId="7188"/>
    <cellStyle name="Normal 2 2 2 2 2 2 10" xfId="7189"/>
    <cellStyle name="Normal 2 2 2 2 2 2 10 2" xfId="48698"/>
    <cellStyle name="Normal 2 2 2 2 2 2 10 3" xfId="48699"/>
    <cellStyle name="Normal 2 2 2 2 2 2 10 4" xfId="48700"/>
    <cellStyle name="Normal 2 2 2 2 2 2 10 5" xfId="48701"/>
    <cellStyle name="Normal 2 2 2 2 2 2 10 6" xfId="48702"/>
    <cellStyle name="Normal 2 2 2 2 2 2 10 7" xfId="48703"/>
    <cellStyle name="Normal 2 2 2 2 2 2 10 8" xfId="48697"/>
    <cellStyle name="Normal 2 2 2 2 2 2 11" xfId="7190"/>
    <cellStyle name="Normal 2 2 2 2 2 2 11 2" xfId="48704"/>
    <cellStyle name="Normal 2 2 2 2 2 2 12" xfId="7191"/>
    <cellStyle name="Normal 2 2 2 2 2 2 12 2" xfId="48705"/>
    <cellStyle name="Normal 2 2 2 2 2 2 13" xfId="7192"/>
    <cellStyle name="Normal 2 2 2 2 2 2 13 2" xfId="48706"/>
    <cellStyle name="Normal 2 2 2 2 2 2 14" xfId="7193"/>
    <cellStyle name="Normal 2 2 2 2 2 2 14 2" xfId="48707"/>
    <cellStyle name="Normal 2 2 2 2 2 2 15" xfId="7194"/>
    <cellStyle name="Normal 2 2 2 2 2 2 15 2" xfId="48708"/>
    <cellStyle name="Normal 2 2 2 2 2 2 16" xfId="7195"/>
    <cellStyle name="Normal 2 2 2 2 2 2 16 2" xfId="48709"/>
    <cellStyle name="Normal 2 2 2 2 2 2 17" xfId="7196"/>
    <cellStyle name="Normal 2 2 2 2 2 2 17 2" xfId="48710"/>
    <cellStyle name="Normal 2 2 2 2 2 2 18" xfId="7197"/>
    <cellStyle name="Normal 2 2 2 2 2 2 18 2" xfId="48711"/>
    <cellStyle name="Normal 2 2 2 2 2 2 19" xfId="7198"/>
    <cellStyle name="Normal 2 2 2 2 2 2 19 2" xfId="48712"/>
    <cellStyle name="Normal 2 2 2 2 2 2 2" xfId="7199"/>
    <cellStyle name="Normal 2 2 2 2 2 2 2 10" xfId="7200"/>
    <cellStyle name="Normal 2 2 2 2 2 2 2 10 2" xfId="48715"/>
    <cellStyle name="Normal 2 2 2 2 2 2 2 10 3" xfId="48716"/>
    <cellStyle name="Normal 2 2 2 2 2 2 2 10 4" xfId="48717"/>
    <cellStyle name="Normal 2 2 2 2 2 2 2 10 5" xfId="48718"/>
    <cellStyle name="Normal 2 2 2 2 2 2 2 10 6" xfId="48719"/>
    <cellStyle name="Normal 2 2 2 2 2 2 2 10 7" xfId="48720"/>
    <cellStyle name="Normal 2 2 2 2 2 2 2 10 8" xfId="48714"/>
    <cellStyle name="Normal 2 2 2 2 2 2 2 11" xfId="7201"/>
    <cellStyle name="Normal 2 2 2 2 2 2 2 11 2" xfId="48721"/>
    <cellStyle name="Normal 2 2 2 2 2 2 2 12" xfId="7202"/>
    <cellStyle name="Normal 2 2 2 2 2 2 2 12 2" xfId="48722"/>
    <cellStyle name="Normal 2 2 2 2 2 2 2 13" xfId="7203"/>
    <cellStyle name="Normal 2 2 2 2 2 2 2 13 2" xfId="48723"/>
    <cellStyle name="Normal 2 2 2 2 2 2 2 14" xfId="7204"/>
    <cellStyle name="Normal 2 2 2 2 2 2 2 14 2" xfId="48724"/>
    <cellStyle name="Normal 2 2 2 2 2 2 2 15" xfId="7205"/>
    <cellStyle name="Normal 2 2 2 2 2 2 2 15 2" xfId="48725"/>
    <cellStyle name="Normal 2 2 2 2 2 2 2 16" xfId="7206"/>
    <cellStyle name="Normal 2 2 2 2 2 2 2 16 2" xfId="48726"/>
    <cellStyle name="Normal 2 2 2 2 2 2 2 17" xfId="7207"/>
    <cellStyle name="Normal 2 2 2 2 2 2 2 17 2" xfId="48727"/>
    <cellStyle name="Normal 2 2 2 2 2 2 2 18" xfId="7208"/>
    <cellStyle name="Normal 2 2 2 2 2 2 2 18 2" xfId="48728"/>
    <cellStyle name="Normal 2 2 2 2 2 2 2 19" xfId="7209"/>
    <cellStyle name="Normal 2 2 2 2 2 2 2 19 2" xfId="48729"/>
    <cellStyle name="Normal 2 2 2 2 2 2 2 2" xfId="7210"/>
    <cellStyle name="Normal 2 2 2 2 2 2 2 2 10" xfId="7211"/>
    <cellStyle name="Normal 2 2 2 2 2 2 2 2 10 2" xfId="48731"/>
    <cellStyle name="Normal 2 2 2 2 2 2 2 2 11" xfId="7212"/>
    <cellStyle name="Normal 2 2 2 2 2 2 2 2 11 2" xfId="48732"/>
    <cellStyle name="Normal 2 2 2 2 2 2 2 2 12" xfId="7213"/>
    <cellStyle name="Normal 2 2 2 2 2 2 2 2 12 2" xfId="48733"/>
    <cellStyle name="Normal 2 2 2 2 2 2 2 2 13" xfId="7214"/>
    <cellStyle name="Normal 2 2 2 2 2 2 2 2 13 2" xfId="48734"/>
    <cellStyle name="Normal 2 2 2 2 2 2 2 2 14" xfId="7215"/>
    <cellStyle name="Normal 2 2 2 2 2 2 2 2 14 2" xfId="48735"/>
    <cellStyle name="Normal 2 2 2 2 2 2 2 2 15" xfId="7216"/>
    <cellStyle name="Normal 2 2 2 2 2 2 2 2 15 2" xfId="48736"/>
    <cellStyle name="Normal 2 2 2 2 2 2 2 2 16" xfId="7217"/>
    <cellStyle name="Normal 2 2 2 2 2 2 2 2 16 2" xfId="48737"/>
    <cellStyle name="Normal 2 2 2 2 2 2 2 2 17" xfId="7218"/>
    <cellStyle name="Normal 2 2 2 2 2 2 2 2 17 2" xfId="48738"/>
    <cellStyle name="Normal 2 2 2 2 2 2 2 2 18" xfId="7219"/>
    <cellStyle name="Normal 2 2 2 2 2 2 2 2 18 2" xfId="48739"/>
    <cellStyle name="Normal 2 2 2 2 2 2 2 2 19" xfId="7220"/>
    <cellStyle name="Normal 2 2 2 2 2 2 2 2 19 2" xfId="48740"/>
    <cellStyle name="Normal 2 2 2 2 2 2 2 2 2" xfId="7221"/>
    <cellStyle name="Normal 2 2 2 2 2 2 2 2 2 10" xfId="7222"/>
    <cellStyle name="Normal 2 2 2 2 2 2 2 2 2 10 2" xfId="48742"/>
    <cellStyle name="Normal 2 2 2 2 2 2 2 2 2 11" xfId="7223"/>
    <cellStyle name="Normal 2 2 2 2 2 2 2 2 2 11 2" xfId="48743"/>
    <cellStyle name="Normal 2 2 2 2 2 2 2 2 2 12" xfId="7224"/>
    <cellStyle name="Normal 2 2 2 2 2 2 2 2 2 12 2" xfId="48744"/>
    <cellStyle name="Normal 2 2 2 2 2 2 2 2 2 13" xfId="7225"/>
    <cellStyle name="Normal 2 2 2 2 2 2 2 2 2 13 2" xfId="48745"/>
    <cellStyle name="Normal 2 2 2 2 2 2 2 2 2 14" xfId="7226"/>
    <cellStyle name="Normal 2 2 2 2 2 2 2 2 2 14 2" xfId="48746"/>
    <cellStyle name="Normal 2 2 2 2 2 2 2 2 2 15" xfId="7227"/>
    <cellStyle name="Normal 2 2 2 2 2 2 2 2 2 15 2" xfId="48747"/>
    <cellStyle name="Normal 2 2 2 2 2 2 2 2 2 16" xfId="7228"/>
    <cellStyle name="Normal 2 2 2 2 2 2 2 2 2 16 2" xfId="48748"/>
    <cellStyle name="Normal 2 2 2 2 2 2 2 2 2 17" xfId="7229"/>
    <cellStyle name="Normal 2 2 2 2 2 2 2 2 2 17 2" xfId="48749"/>
    <cellStyle name="Normal 2 2 2 2 2 2 2 2 2 18" xfId="7230"/>
    <cellStyle name="Normal 2 2 2 2 2 2 2 2 2 18 2" xfId="48750"/>
    <cellStyle name="Normal 2 2 2 2 2 2 2 2 2 19" xfId="48751"/>
    <cellStyle name="Normal 2 2 2 2 2 2 2 2 2 2" xfId="7231"/>
    <cellStyle name="Normal 2 2 2 2 2 2 2 2 2 2 10" xfId="48753"/>
    <cellStyle name="Normal 2 2 2 2 2 2 2 2 2 2 11" xfId="48754"/>
    <cellStyle name="Normal 2 2 2 2 2 2 2 2 2 2 12" xfId="48755"/>
    <cellStyle name="Normal 2 2 2 2 2 2 2 2 2 2 13" xfId="48756"/>
    <cellStyle name="Normal 2 2 2 2 2 2 2 2 2 2 14" xfId="48757"/>
    <cellStyle name="Normal 2 2 2 2 2 2 2 2 2 2 15" xfId="48758"/>
    <cellStyle name="Normal 2 2 2 2 2 2 2 2 2 2 16" xfId="48759"/>
    <cellStyle name="Normal 2 2 2 2 2 2 2 2 2 2 17" xfId="48760"/>
    <cellStyle name="Normal 2 2 2 2 2 2 2 2 2 2 18" xfId="48761"/>
    <cellStyle name="Normal 2 2 2 2 2 2 2 2 2 2 19" xfId="48752"/>
    <cellStyle name="Normal 2 2 2 2 2 2 2 2 2 2 2" xfId="48762"/>
    <cellStyle name="Normal 2 2 2 2 2 2 2 2 2 2 2 2" xfId="48763"/>
    <cellStyle name="Normal 2 2 2 2 2 2 2 2 2 2 2 2 2" xfId="48764"/>
    <cellStyle name="Normal 2 2 2 2 2 2 2 2 2 2 2 2 3" xfId="48765"/>
    <cellStyle name="Normal 2 2 2 2 2 2 2 2 2 2 2 2 4" xfId="48766"/>
    <cellStyle name="Normal 2 2 2 2 2 2 2 2 2 2 2 2 5" xfId="48767"/>
    <cellStyle name="Normal 2 2 2 2 2 2 2 2 2 2 2 2 6" xfId="48768"/>
    <cellStyle name="Normal 2 2 2 2 2 2 2 2 2 2 2 2 7" xfId="48769"/>
    <cellStyle name="Normal 2 2 2 2 2 2 2 2 2 2 2 3" xfId="48770"/>
    <cellStyle name="Normal 2 2 2 2 2 2 2 2 2 2 2 4" xfId="48771"/>
    <cellStyle name="Normal 2 2 2 2 2 2 2 2 2 2 2 5" xfId="48772"/>
    <cellStyle name="Normal 2 2 2 2 2 2 2 2 2 2 2 6" xfId="48773"/>
    <cellStyle name="Normal 2 2 2 2 2 2 2 2 2 2 2 7" xfId="48774"/>
    <cellStyle name="Normal 2 2 2 2 2 2 2 2 2 2 2 8" xfId="48775"/>
    <cellStyle name="Normal 2 2 2 2 2 2 2 2 2 2 3" xfId="48776"/>
    <cellStyle name="Normal 2 2 2 2 2 2 2 2 2 2 4" xfId="48777"/>
    <cellStyle name="Normal 2 2 2 2 2 2 2 2 2 2 5" xfId="48778"/>
    <cellStyle name="Normal 2 2 2 2 2 2 2 2 2 2 5 2" xfId="48779"/>
    <cellStyle name="Normal 2 2 2 2 2 2 2 2 2 2 5 3" xfId="48780"/>
    <cellStyle name="Normal 2 2 2 2 2 2 2 2 2 2 5 4" xfId="48781"/>
    <cellStyle name="Normal 2 2 2 2 2 2 2 2 2 2 5 5" xfId="48782"/>
    <cellStyle name="Normal 2 2 2 2 2 2 2 2 2 2 5 6" xfId="48783"/>
    <cellStyle name="Normal 2 2 2 2 2 2 2 2 2 2 5 7" xfId="48784"/>
    <cellStyle name="Normal 2 2 2 2 2 2 2 2 2 2 6" xfId="48785"/>
    <cellStyle name="Normal 2 2 2 2 2 2 2 2 2 2 7" xfId="48786"/>
    <cellStyle name="Normal 2 2 2 2 2 2 2 2 2 2 8" xfId="48787"/>
    <cellStyle name="Normal 2 2 2 2 2 2 2 2 2 2 9" xfId="48788"/>
    <cellStyle name="Normal 2 2 2 2 2 2 2 2 2 20" xfId="48741"/>
    <cellStyle name="Normal 2 2 2 2 2 2 2 2 2 3" xfId="7232"/>
    <cellStyle name="Normal 2 2 2 2 2 2 2 2 2 3 2" xfId="48789"/>
    <cellStyle name="Normal 2 2 2 2 2 2 2 2 2 4" xfId="7233"/>
    <cellStyle name="Normal 2 2 2 2 2 2 2 2 2 4 2" xfId="48791"/>
    <cellStyle name="Normal 2 2 2 2 2 2 2 2 2 4 2 2" xfId="48792"/>
    <cellStyle name="Normal 2 2 2 2 2 2 2 2 2 4 2 3" xfId="48793"/>
    <cellStyle name="Normal 2 2 2 2 2 2 2 2 2 4 2 4" xfId="48794"/>
    <cellStyle name="Normal 2 2 2 2 2 2 2 2 2 4 2 5" xfId="48795"/>
    <cellStyle name="Normal 2 2 2 2 2 2 2 2 2 4 2 6" xfId="48796"/>
    <cellStyle name="Normal 2 2 2 2 2 2 2 2 2 4 2 7" xfId="48797"/>
    <cellStyle name="Normal 2 2 2 2 2 2 2 2 2 4 3" xfId="48798"/>
    <cellStyle name="Normal 2 2 2 2 2 2 2 2 2 4 4" xfId="48799"/>
    <cellStyle name="Normal 2 2 2 2 2 2 2 2 2 4 5" xfId="48800"/>
    <cellStyle name="Normal 2 2 2 2 2 2 2 2 2 4 6" xfId="48801"/>
    <cellStyle name="Normal 2 2 2 2 2 2 2 2 2 4 7" xfId="48802"/>
    <cellStyle name="Normal 2 2 2 2 2 2 2 2 2 4 8" xfId="48803"/>
    <cellStyle name="Normal 2 2 2 2 2 2 2 2 2 4 9" xfId="48790"/>
    <cellStyle name="Normal 2 2 2 2 2 2 2 2 2 5" xfId="7234"/>
    <cellStyle name="Normal 2 2 2 2 2 2 2 2 2 5 2" xfId="48804"/>
    <cellStyle name="Normal 2 2 2 2 2 2 2 2 2 6" xfId="7235"/>
    <cellStyle name="Normal 2 2 2 2 2 2 2 2 2 6 2" xfId="48806"/>
    <cellStyle name="Normal 2 2 2 2 2 2 2 2 2 6 3" xfId="48807"/>
    <cellStyle name="Normal 2 2 2 2 2 2 2 2 2 6 4" xfId="48808"/>
    <cellStyle name="Normal 2 2 2 2 2 2 2 2 2 6 5" xfId="48809"/>
    <cellStyle name="Normal 2 2 2 2 2 2 2 2 2 6 6" xfId="48810"/>
    <cellStyle name="Normal 2 2 2 2 2 2 2 2 2 6 7" xfId="48811"/>
    <cellStyle name="Normal 2 2 2 2 2 2 2 2 2 6 8" xfId="48805"/>
    <cellStyle name="Normal 2 2 2 2 2 2 2 2 2 7" xfId="7236"/>
    <cellStyle name="Normal 2 2 2 2 2 2 2 2 2 7 2" xfId="48812"/>
    <cellStyle name="Normal 2 2 2 2 2 2 2 2 2 8" xfId="7237"/>
    <cellStyle name="Normal 2 2 2 2 2 2 2 2 2 8 2" xfId="48813"/>
    <cellStyle name="Normal 2 2 2 2 2 2 2 2 2 9" xfId="7238"/>
    <cellStyle name="Normal 2 2 2 2 2 2 2 2 2 9 2" xfId="48814"/>
    <cellStyle name="Normal 2 2 2 2 2 2 2 2 2_Opex Input" xfId="48815"/>
    <cellStyle name="Normal 2 2 2 2 2 2 2 2 20" xfId="48816"/>
    <cellStyle name="Normal 2 2 2 2 2 2 2 2 21" xfId="48730"/>
    <cellStyle name="Normal 2 2 2 2 2 2 2 2 3" xfId="7239"/>
    <cellStyle name="Normal 2 2 2 2 2 2 2 2 3 2" xfId="48817"/>
    <cellStyle name="Normal 2 2 2 2 2 2 2 2 4" xfId="7240"/>
    <cellStyle name="Normal 2 2 2 2 2 2 2 2 4 2" xfId="48818"/>
    <cellStyle name="Normal 2 2 2 2 2 2 2 2 5" xfId="7241"/>
    <cellStyle name="Normal 2 2 2 2 2 2 2 2 5 2" xfId="48820"/>
    <cellStyle name="Normal 2 2 2 2 2 2 2 2 5 2 2" xfId="48821"/>
    <cellStyle name="Normal 2 2 2 2 2 2 2 2 5 2 3" xfId="48822"/>
    <cellStyle name="Normal 2 2 2 2 2 2 2 2 5 2 4" xfId="48823"/>
    <cellStyle name="Normal 2 2 2 2 2 2 2 2 5 2 5" xfId="48824"/>
    <cellStyle name="Normal 2 2 2 2 2 2 2 2 5 2 6" xfId="48825"/>
    <cellStyle name="Normal 2 2 2 2 2 2 2 2 5 2 7" xfId="48826"/>
    <cellStyle name="Normal 2 2 2 2 2 2 2 2 5 3" xfId="48827"/>
    <cellStyle name="Normal 2 2 2 2 2 2 2 2 5 4" xfId="48828"/>
    <cellStyle name="Normal 2 2 2 2 2 2 2 2 5 5" xfId="48829"/>
    <cellStyle name="Normal 2 2 2 2 2 2 2 2 5 6" xfId="48830"/>
    <cellStyle name="Normal 2 2 2 2 2 2 2 2 5 7" xfId="48831"/>
    <cellStyle name="Normal 2 2 2 2 2 2 2 2 5 8" xfId="48832"/>
    <cellStyle name="Normal 2 2 2 2 2 2 2 2 5 9" xfId="48819"/>
    <cellStyle name="Normal 2 2 2 2 2 2 2 2 6" xfId="7242"/>
    <cellStyle name="Normal 2 2 2 2 2 2 2 2 6 2" xfId="48833"/>
    <cellStyle name="Normal 2 2 2 2 2 2 2 2 7" xfId="7243"/>
    <cellStyle name="Normal 2 2 2 2 2 2 2 2 7 2" xfId="48835"/>
    <cellStyle name="Normal 2 2 2 2 2 2 2 2 7 3" xfId="48836"/>
    <cellStyle name="Normal 2 2 2 2 2 2 2 2 7 4" xfId="48837"/>
    <cellStyle name="Normal 2 2 2 2 2 2 2 2 7 5" xfId="48838"/>
    <cellStyle name="Normal 2 2 2 2 2 2 2 2 7 6" xfId="48839"/>
    <cellStyle name="Normal 2 2 2 2 2 2 2 2 7 7" xfId="48840"/>
    <cellStyle name="Normal 2 2 2 2 2 2 2 2 7 8" xfId="48834"/>
    <cellStyle name="Normal 2 2 2 2 2 2 2 2 8" xfId="7244"/>
    <cellStyle name="Normal 2 2 2 2 2 2 2 2 8 2" xfId="48841"/>
    <cellStyle name="Normal 2 2 2 2 2 2 2 2 9" xfId="7245"/>
    <cellStyle name="Normal 2 2 2 2 2 2 2 2 9 2" xfId="48842"/>
    <cellStyle name="Normal 2 2 2 2 2 2 2 2_ELEC SAP FCST UPLOAD" xfId="7246"/>
    <cellStyle name="Normal 2 2 2 2 2 2 2 20" xfId="7247"/>
    <cellStyle name="Normal 2 2 2 2 2 2 2 20 2" xfId="48843"/>
    <cellStyle name="Normal 2 2 2 2 2 2 2 21" xfId="7248"/>
    <cellStyle name="Normal 2 2 2 2 2 2 2 21 2" xfId="48844"/>
    <cellStyle name="Normal 2 2 2 2 2 2 2 22" xfId="7249"/>
    <cellStyle name="Normal 2 2 2 2 2 2 2 22 2" xfId="48845"/>
    <cellStyle name="Normal 2 2 2 2 2 2 2 23" xfId="48846"/>
    <cellStyle name="Normal 2 2 2 2 2 2 2 24" xfId="48713"/>
    <cellStyle name="Normal 2 2 2 2 2 2 2 3" xfId="7250"/>
    <cellStyle name="Normal 2 2 2 2 2 2 2 3 2" xfId="48847"/>
    <cellStyle name="Normal 2 2 2 2 2 2 2 4" xfId="7251"/>
    <cellStyle name="Normal 2 2 2 2 2 2 2 4 2" xfId="48848"/>
    <cellStyle name="Normal 2 2 2 2 2 2 2 5" xfId="7252"/>
    <cellStyle name="Normal 2 2 2 2 2 2 2 5 2" xfId="48849"/>
    <cellStyle name="Normal 2 2 2 2 2 2 2 6" xfId="7253"/>
    <cellStyle name="Normal 2 2 2 2 2 2 2 6 2" xfId="48850"/>
    <cellStyle name="Normal 2 2 2 2 2 2 2 7" xfId="7254"/>
    <cellStyle name="Normal 2 2 2 2 2 2 2 7 2" xfId="48851"/>
    <cellStyle name="Normal 2 2 2 2 2 2 2 8" xfId="7255"/>
    <cellStyle name="Normal 2 2 2 2 2 2 2 8 2" xfId="48853"/>
    <cellStyle name="Normal 2 2 2 2 2 2 2 8 2 2" xfId="48854"/>
    <cellStyle name="Normal 2 2 2 2 2 2 2 8 2 3" xfId="48855"/>
    <cellStyle name="Normal 2 2 2 2 2 2 2 8 2 4" xfId="48856"/>
    <cellStyle name="Normal 2 2 2 2 2 2 2 8 2 5" xfId="48857"/>
    <cellStyle name="Normal 2 2 2 2 2 2 2 8 2 6" xfId="48858"/>
    <cellStyle name="Normal 2 2 2 2 2 2 2 8 2 7" xfId="48859"/>
    <cellStyle name="Normal 2 2 2 2 2 2 2 8 3" xfId="48860"/>
    <cellStyle name="Normal 2 2 2 2 2 2 2 8 4" xfId="48861"/>
    <cellStyle name="Normal 2 2 2 2 2 2 2 8 5" xfId="48862"/>
    <cellStyle name="Normal 2 2 2 2 2 2 2 8 6" xfId="48863"/>
    <cellStyle name="Normal 2 2 2 2 2 2 2 8 7" xfId="48864"/>
    <cellStyle name="Normal 2 2 2 2 2 2 2 8 8" xfId="48865"/>
    <cellStyle name="Normal 2 2 2 2 2 2 2 8 9" xfId="48852"/>
    <cellStyle name="Normal 2 2 2 2 2 2 2 9" xfId="7256"/>
    <cellStyle name="Normal 2 2 2 2 2 2 2 9 2" xfId="48866"/>
    <cellStyle name="Normal 2 2 2 2 2 2 2_ELEC SAP FCST UPLOAD" xfId="7257"/>
    <cellStyle name="Normal 2 2 2 2 2 2 20" xfId="7258"/>
    <cellStyle name="Normal 2 2 2 2 2 2 20 2" xfId="48867"/>
    <cellStyle name="Normal 2 2 2 2 2 2 21" xfId="7259"/>
    <cellStyle name="Normal 2 2 2 2 2 2 21 2" xfId="48868"/>
    <cellStyle name="Normal 2 2 2 2 2 2 22" xfId="7260"/>
    <cellStyle name="Normal 2 2 2 2 2 2 22 2" xfId="48869"/>
    <cellStyle name="Normal 2 2 2 2 2 2 23" xfId="48870"/>
    <cellStyle name="Normal 2 2 2 2 2 2 24" xfId="48696"/>
    <cellStyle name="Normal 2 2 2 2 2 2 3" xfId="7261"/>
    <cellStyle name="Normal 2 2 2 2 2 2 3 2" xfId="7262"/>
    <cellStyle name="Normal 2 2 2 2 2 2 3 2 2" xfId="48872"/>
    <cellStyle name="Normal 2 2 2 2 2 2 3 3" xfId="7263"/>
    <cellStyle name="Normal 2 2 2 2 2 2 3 3 2" xfId="48873"/>
    <cellStyle name="Normal 2 2 2 2 2 2 3 4" xfId="48871"/>
    <cellStyle name="Normal 2 2 2 2 2 2 3_ELEC SAP FCST UPLOAD" xfId="7264"/>
    <cellStyle name="Normal 2 2 2 2 2 2 4" xfId="7265"/>
    <cellStyle name="Normal 2 2 2 2 2 2 4 2" xfId="48874"/>
    <cellStyle name="Normal 2 2 2 2 2 2 5" xfId="7266"/>
    <cellStyle name="Normal 2 2 2 2 2 2 5 2" xfId="48875"/>
    <cellStyle name="Normal 2 2 2 2 2 2 6" xfId="7267"/>
    <cellStyle name="Normal 2 2 2 2 2 2 6 2" xfId="48876"/>
    <cellStyle name="Normal 2 2 2 2 2 2 7" xfId="7268"/>
    <cellStyle name="Normal 2 2 2 2 2 2 7 2" xfId="48877"/>
    <cellStyle name="Normal 2 2 2 2 2 2 8" xfId="7269"/>
    <cellStyle name="Normal 2 2 2 2 2 2 8 2" xfId="48879"/>
    <cellStyle name="Normal 2 2 2 2 2 2 8 2 2" xfId="48880"/>
    <cellStyle name="Normal 2 2 2 2 2 2 8 2 3" xfId="48881"/>
    <cellStyle name="Normal 2 2 2 2 2 2 8 2 4" xfId="48882"/>
    <cellStyle name="Normal 2 2 2 2 2 2 8 2 5" xfId="48883"/>
    <cellStyle name="Normal 2 2 2 2 2 2 8 2 6" xfId="48884"/>
    <cellStyle name="Normal 2 2 2 2 2 2 8 2 7" xfId="48885"/>
    <cellStyle name="Normal 2 2 2 2 2 2 8 3" xfId="48886"/>
    <cellStyle name="Normal 2 2 2 2 2 2 8 4" xfId="48887"/>
    <cellStyle name="Normal 2 2 2 2 2 2 8 5" xfId="48888"/>
    <cellStyle name="Normal 2 2 2 2 2 2 8 6" xfId="48889"/>
    <cellStyle name="Normal 2 2 2 2 2 2 8 7" xfId="48890"/>
    <cellStyle name="Normal 2 2 2 2 2 2 8 8" xfId="48891"/>
    <cellStyle name="Normal 2 2 2 2 2 2 8 9" xfId="48878"/>
    <cellStyle name="Normal 2 2 2 2 2 2 9" xfId="7270"/>
    <cellStyle name="Normal 2 2 2 2 2 2 9 2" xfId="48892"/>
    <cellStyle name="Normal 2 2 2 2 2 2_ELEC SAP FCST UPLOAD" xfId="7271"/>
    <cellStyle name="Normal 2 2 2 2 2 20" xfId="7272"/>
    <cellStyle name="Normal 2 2 2 2 2 20 2" xfId="48893"/>
    <cellStyle name="Normal 2 2 2 2 2 21" xfId="7273"/>
    <cellStyle name="Normal 2 2 2 2 2 21 2" xfId="48894"/>
    <cellStyle name="Normal 2 2 2 2 2 22" xfId="7274"/>
    <cellStyle name="Normal 2 2 2 2 2 22 2" xfId="48895"/>
    <cellStyle name="Normal 2 2 2 2 2 23" xfId="7275"/>
    <cellStyle name="Normal 2 2 2 2 2 23 2" xfId="48896"/>
    <cellStyle name="Normal 2 2 2 2 2 24" xfId="48897"/>
    <cellStyle name="Normal 2 2 2 2 2 25" xfId="48679"/>
    <cellStyle name="Normal 2 2 2 2 2 3" xfId="7276"/>
    <cellStyle name="Normal 2 2 2 2 2 3 2" xfId="7277"/>
    <cellStyle name="Normal 2 2 2 2 2 3 2 2" xfId="48899"/>
    <cellStyle name="Normal 2 2 2 2 2 3 3" xfId="7278"/>
    <cellStyle name="Normal 2 2 2 2 2 3 3 2" xfId="48900"/>
    <cellStyle name="Normal 2 2 2 2 2 3 4" xfId="48898"/>
    <cellStyle name="Normal 2 2 2 2 2 3_ELEC SAP FCST UPLOAD" xfId="7279"/>
    <cellStyle name="Normal 2 2 2 2 2 4" xfId="7280"/>
    <cellStyle name="Normal 2 2 2 2 2 4 2" xfId="48901"/>
    <cellStyle name="Normal 2 2 2 2 2 5" xfId="7281"/>
    <cellStyle name="Normal 2 2 2 2 2 5 2" xfId="48902"/>
    <cellStyle name="Normal 2 2 2 2 2 6" xfId="7282"/>
    <cellStyle name="Normal 2 2 2 2 2 6 2" xfId="48903"/>
    <cellStyle name="Normal 2 2 2 2 2 7" xfId="7283"/>
    <cellStyle name="Normal 2 2 2 2 2 7 2" xfId="48904"/>
    <cellStyle name="Normal 2 2 2 2 2 8" xfId="7284"/>
    <cellStyle name="Normal 2 2 2 2 2 8 2" xfId="48905"/>
    <cellStyle name="Normal 2 2 2 2 2 9" xfId="7285"/>
    <cellStyle name="Normal 2 2 2 2 2 9 2" xfId="48907"/>
    <cellStyle name="Normal 2 2 2 2 2 9 2 2" xfId="48908"/>
    <cellStyle name="Normal 2 2 2 2 2 9 2 3" xfId="48909"/>
    <cellStyle name="Normal 2 2 2 2 2 9 2 4" xfId="48910"/>
    <cellStyle name="Normal 2 2 2 2 2 9 2 5" xfId="48911"/>
    <cellStyle name="Normal 2 2 2 2 2 9 2 6" xfId="48912"/>
    <cellStyle name="Normal 2 2 2 2 2 9 2 7" xfId="48913"/>
    <cellStyle name="Normal 2 2 2 2 2 9 3" xfId="48914"/>
    <cellStyle name="Normal 2 2 2 2 2 9 4" xfId="48915"/>
    <cellStyle name="Normal 2 2 2 2 2 9 5" xfId="48916"/>
    <cellStyle name="Normal 2 2 2 2 2 9 6" xfId="48917"/>
    <cellStyle name="Normal 2 2 2 2 2 9 7" xfId="48918"/>
    <cellStyle name="Normal 2 2 2 2 2 9 8" xfId="48919"/>
    <cellStyle name="Normal 2 2 2 2 2 9 9" xfId="48906"/>
    <cellStyle name="Normal 2 2 2 2 2_ELEC SAP FCST UPLOAD" xfId="7286"/>
    <cellStyle name="Normal 2 2 2 2 20" xfId="7287"/>
    <cellStyle name="Normal 2 2 2 2 20 2" xfId="48920"/>
    <cellStyle name="Normal 2 2 2 2 21" xfId="7288"/>
    <cellStyle name="Normal 2 2 2 2 21 2" xfId="48921"/>
    <cellStyle name="Normal 2 2 2 2 22" xfId="7289"/>
    <cellStyle name="Normal 2 2 2 2 22 2" xfId="48922"/>
    <cellStyle name="Normal 2 2 2 2 23" xfId="7290"/>
    <cellStyle name="Normal 2 2 2 2 23 2" xfId="48923"/>
    <cellStyle name="Normal 2 2 2 2 24" xfId="7291"/>
    <cellStyle name="Normal 2 2 2 2 24 2" xfId="48924"/>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2 2" xfId="48927"/>
    <cellStyle name="Normal 2 2 2 2 3 2 3" xfId="7300"/>
    <cellStyle name="Normal 2 2 2 2 3 2 3 2" xfId="48928"/>
    <cellStyle name="Normal 2 2 2 2 3 2 4" xfId="48926"/>
    <cellStyle name="Normal 2 2 2 2 3 2_ELEC SAP FCST UPLOAD" xfId="7301"/>
    <cellStyle name="Normal 2 2 2 2 3 3" xfId="7302"/>
    <cellStyle name="Normal 2 2 2 2 3 3 2" xfId="48929"/>
    <cellStyle name="Normal 2 2 2 2 3 4" xfId="7303"/>
    <cellStyle name="Normal 2 2 2 2 3 4 2" xfId="48930"/>
    <cellStyle name="Normal 2 2 2 2 3 5" xfId="7304"/>
    <cellStyle name="Normal 2 2 2 2 3 5 2" xfId="48931"/>
    <cellStyle name="Normal 2 2 2 2 3 6" xfId="7305"/>
    <cellStyle name="Normal 2 2 2 2 3 6 2" xfId="48932"/>
    <cellStyle name="Normal 2 2 2 2 3 7" xfId="4892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2 2" xfId="48934"/>
    <cellStyle name="Normal 2 2 2 2 4 3" xfId="7319"/>
    <cellStyle name="Normal 2 2 2 2 4 3 2" xfId="48935"/>
    <cellStyle name="Normal 2 2 2 2 4 4" xfId="48933"/>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 2" xfId="48936"/>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 2" xfId="48937"/>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 2" xfId="48938"/>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18" xfId="48939"/>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85" xfId="48662"/>
    <cellStyle name="Normal 2 2 2 2 9" xfId="7386"/>
    <cellStyle name="Normal 2 2 2 2 9 2" xfId="48941"/>
    <cellStyle name="Normal 2 2 2 2 9 2 2" xfId="48942"/>
    <cellStyle name="Normal 2 2 2 2 9 2 3" xfId="48943"/>
    <cellStyle name="Normal 2 2 2 2 9 2 4" xfId="48944"/>
    <cellStyle name="Normal 2 2 2 2 9 2 5" xfId="48945"/>
    <cellStyle name="Normal 2 2 2 2 9 2 6" xfId="48946"/>
    <cellStyle name="Normal 2 2 2 2 9 2 7" xfId="48947"/>
    <cellStyle name="Normal 2 2 2 2 9 3" xfId="48948"/>
    <cellStyle name="Normal 2 2 2 2 9 4" xfId="48949"/>
    <cellStyle name="Normal 2 2 2 2 9 5" xfId="48950"/>
    <cellStyle name="Normal 2 2 2 2 9 6" xfId="48951"/>
    <cellStyle name="Normal 2 2 2 2 9 7" xfId="48952"/>
    <cellStyle name="Normal 2 2 2 2 9 8" xfId="48953"/>
    <cellStyle name="Normal 2 2 2 2 9 9" xfId="48940"/>
    <cellStyle name="Normal 2 2 2 2_ELEC SAP FCST UPLOAD" xfId="7387"/>
    <cellStyle name="Normal 2 2 2 20" xfId="7388"/>
    <cellStyle name="Normal 2 2 2 20 2" xfId="48954"/>
    <cellStyle name="Normal 2 2 2 21" xfId="7389"/>
    <cellStyle name="Normal 2 2 2 21 2" xfId="48955"/>
    <cellStyle name="Normal 2 2 2 22" xfId="7390"/>
    <cellStyle name="Normal 2 2 2 22 2" xfId="48956"/>
    <cellStyle name="Normal 2 2 2 23" xfId="7391"/>
    <cellStyle name="Normal 2 2 2 23 2" xfId="48957"/>
    <cellStyle name="Normal 2 2 2 24" xfId="7392"/>
    <cellStyle name="Normal 2 2 2 24 2" xfId="48958"/>
    <cellStyle name="Normal 2 2 2 25" xfId="7393"/>
    <cellStyle name="Normal 2 2 2 25 2" xfId="48959"/>
    <cellStyle name="Normal 2 2 2 26" xfId="7394"/>
    <cellStyle name="Normal 2 2 2 26 2" xfId="48960"/>
    <cellStyle name="Normal 2 2 2 27" xfId="7395"/>
    <cellStyle name="Normal 2 2 2 28" xfId="7396"/>
    <cellStyle name="Normal 2 2 2 29" xfId="7397"/>
    <cellStyle name="Normal 2 2 2 3" xfId="7398"/>
    <cellStyle name="Normal 2 2 2 3 2" xfId="48961"/>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2 2" xfId="48965"/>
    <cellStyle name="Normal 2 2 2 4 2 2 3" xfId="7413"/>
    <cellStyle name="Normal 2 2 2 4 2 2 3 2" xfId="48966"/>
    <cellStyle name="Normal 2 2 2 4 2 2 4" xfId="48964"/>
    <cellStyle name="Normal 2 2 2 4 2 2_ELEC SAP FCST UPLOAD" xfId="7414"/>
    <cellStyle name="Normal 2 2 2 4 2 3" xfId="7415"/>
    <cellStyle name="Normal 2 2 2 4 2 3 2" xfId="48967"/>
    <cellStyle name="Normal 2 2 2 4 2 4" xfId="7416"/>
    <cellStyle name="Normal 2 2 2 4 2 4 2" xfId="48968"/>
    <cellStyle name="Normal 2 2 2 4 2 5" xfId="7417"/>
    <cellStyle name="Normal 2 2 2 4 2 5 2" xfId="48969"/>
    <cellStyle name="Normal 2 2 2 4 2 6" xfId="7418"/>
    <cellStyle name="Normal 2 2 2 4 2 6 2" xfId="48970"/>
    <cellStyle name="Normal 2 2 2 4 2 7" xfId="48963"/>
    <cellStyle name="Normal 2 2 2 4 2_ELEC SAP FCST UPLOAD" xfId="7419"/>
    <cellStyle name="Normal 2 2 2 4 3" xfId="7420"/>
    <cellStyle name="Normal 2 2 2 4 3 2" xfId="7421"/>
    <cellStyle name="Normal 2 2 2 4 3 2 2" xfId="48972"/>
    <cellStyle name="Normal 2 2 2 4 3 3" xfId="7422"/>
    <cellStyle name="Normal 2 2 2 4 3 3 2" xfId="48973"/>
    <cellStyle name="Normal 2 2 2 4 3 4" xfId="48971"/>
    <cellStyle name="Normal 2 2 2 4 3_ELEC SAP FCST UPLOAD" xfId="7423"/>
    <cellStyle name="Normal 2 2 2 4 4" xfId="7424"/>
    <cellStyle name="Normal 2 2 2 4 4 2" xfId="48974"/>
    <cellStyle name="Normal 2 2 2 4 5" xfId="7425"/>
    <cellStyle name="Normal 2 2 2 4 5 2" xfId="48975"/>
    <cellStyle name="Normal 2 2 2 4 6" xfId="7426"/>
    <cellStyle name="Normal 2 2 2 4 6 2" xfId="48976"/>
    <cellStyle name="Normal 2 2 2 4 7" xfId="48962"/>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2 2" xfId="48978"/>
    <cellStyle name="Normal 2 2 2 5 3" xfId="7440"/>
    <cellStyle name="Normal 2 2 2 5 3 2" xfId="48979"/>
    <cellStyle name="Normal 2 2 2 5 4" xfId="48977"/>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 2" xfId="48980"/>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 2" xfId="48981"/>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 2" xfId="48982"/>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87" xfId="48632"/>
    <cellStyle name="Normal 2 2 2 9" xfId="7482"/>
    <cellStyle name="Normal 2 2 2 9 2" xfId="48983"/>
    <cellStyle name="Normal 2 2 2_3.1.2 DB Pension Detail" xfId="7483"/>
    <cellStyle name="Normal 2 2 20" xfId="7484"/>
    <cellStyle name="Normal 2 2 20 2" xfId="48984"/>
    <cellStyle name="Normal 2 2 21" xfId="7485"/>
    <cellStyle name="Normal 2 2 21 2" xfId="48985"/>
    <cellStyle name="Normal 2 2 22" xfId="7486"/>
    <cellStyle name="Normal 2 2 22 2" xfId="48986"/>
    <cellStyle name="Normal 2 2 23" xfId="7487"/>
    <cellStyle name="Normal 2 2 23 2" xfId="48987"/>
    <cellStyle name="Normal 2 2 24" xfId="7488"/>
    <cellStyle name="Normal 2 2 24 2" xfId="48988"/>
    <cellStyle name="Normal 2 2 25" xfId="7489"/>
    <cellStyle name="Normal 2 2 25 2" xfId="48989"/>
    <cellStyle name="Normal 2 2 26" xfId="7490"/>
    <cellStyle name="Normal 2 2 26 2" xfId="489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19" xfId="48996"/>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20" xfId="48995"/>
    <cellStyle name="Normal 2 2 3 2 2 2 2 3" xfId="7567"/>
    <cellStyle name="Normal 2 2 3 2 2 2 2 3 2" xfId="4899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23" xfId="48994"/>
    <cellStyle name="Normal 2 2 3 2 2 2 3" xfId="7578"/>
    <cellStyle name="Normal 2 2 3 2 2 2 3 2" xfId="48998"/>
    <cellStyle name="Normal 2 2 3 2 2 2 4" xfId="7579"/>
    <cellStyle name="Normal 2 2 3 2 2 2 4 2" xfId="48999"/>
    <cellStyle name="Normal 2 2 3 2 2 2 5" xfId="7580"/>
    <cellStyle name="Normal 2 2 3 2 2 2 5 2" xfId="49000"/>
    <cellStyle name="Normal 2 2 3 2 2 2 6" xfId="7581"/>
    <cellStyle name="Normal 2 2 3 2 2 2 6 2" xfId="4900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23" xfId="48993"/>
    <cellStyle name="Normal 2 2 3 2 2 3" xfId="7589"/>
    <cellStyle name="Normal 2 2 3 2 2 3 2" xfId="7590"/>
    <cellStyle name="Normal 2 2 3 2 2 3 2 2" xfId="49003"/>
    <cellStyle name="Normal 2 2 3 2 2 3 3" xfId="7591"/>
    <cellStyle name="Normal 2 2 3 2 2 3 3 2" xfId="49004"/>
    <cellStyle name="Normal 2 2 3 2 2 3 4" xfId="49002"/>
    <cellStyle name="Normal 2 2 3 2 2 3_ELEC SAP FCST UPLOAD" xfId="7592"/>
    <cellStyle name="Normal 2 2 3 2 2 4" xfId="7593"/>
    <cellStyle name="Normal 2 2 3 2 2 4 2" xfId="49005"/>
    <cellStyle name="Normal 2 2 3 2 2 5" xfId="7594"/>
    <cellStyle name="Normal 2 2 3 2 2 5 2" xfId="49006"/>
    <cellStyle name="Normal 2 2 3 2 2 6" xfId="7595"/>
    <cellStyle name="Normal 2 2 3 2 2 6 2" xfId="49007"/>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24" xfId="48992"/>
    <cellStyle name="Normal 2 2 3 2 3" xfId="7604"/>
    <cellStyle name="Normal 2 2 3 2 3 2" xfId="7605"/>
    <cellStyle name="Normal 2 2 3 2 3 2 2" xfId="49009"/>
    <cellStyle name="Normal 2 2 3 2 3 3" xfId="7606"/>
    <cellStyle name="Normal 2 2 3 2 3 3 2" xfId="49010"/>
    <cellStyle name="Normal 2 2 3 2 3 4" xfId="49008"/>
    <cellStyle name="Normal 2 2 3 2 3_ELEC SAP FCST UPLOAD" xfId="7607"/>
    <cellStyle name="Normal 2 2 3 2 4" xfId="7608"/>
    <cellStyle name="Normal 2 2 3 2 4 2" xfId="49011"/>
    <cellStyle name="Normal 2 2 3 2 5" xfId="7609"/>
    <cellStyle name="Normal 2 2 3 2 5 2" xfId="49012"/>
    <cellStyle name="Normal 2 2 3 2 6" xfId="7610"/>
    <cellStyle name="Normal 2 2 3 2 6 2" xfId="49013"/>
    <cellStyle name="Normal 2 2 3 2 7" xfId="7611"/>
    <cellStyle name="Normal 2 2 3 2 7 2" xfId="49014"/>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2 2" xfId="49017"/>
    <cellStyle name="Normal 2 2 3 3 2 3" xfId="7628"/>
    <cellStyle name="Normal 2 2 3 3 2 3 2" xfId="49018"/>
    <cellStyle name="Normal 2 2 3 3 2 4" xfId="49016"/>
    <cellStyle name="Normal 2 2 3 3 2_ELEC SAP FCST UPLOAD" xfId="7629"/>
    <cellStyle name="Normal 2 2 3 3 3" xfId="7630"/>
    <cellStyle name="Normal 2 2 3 3 3 2" xfId="49019"/>
    <cellStyle name="Normal 2 2 3 3 4" xfId="7631"/>
    <cellStyle name="Normal 2 2 3 3 4 2" xfId="49020"/>
    <cellStyle name="Normal 2 2 3 3 5" xfId="7632"/>
    <cellStyle name="Normal 2 2 3 3 5 2" xfId="49021"/>
    <cellStyle name="Normal 2 2 3 3 6" xfId="7633"/>
    <cellStyle name="Normal 2 2 3 3 6 2" xfId="49022"/>
    <cellStyle name="Normal 2 2 3 3 7" xfId="49015"/>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2 2" xfId="49024"/>
    <cellStyle name="Normal 2 2 3 4 3" xfId="7647"/>
    <cellStyle name="Normal 2 2 3 4 3 2" xfId="49025"/>
    <cellStyle name="Normal 2 2 3 4 4" xfId="49023"/>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 2" xfId="49026"/>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 2" xfId="49027"/>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 2" xfId="49028"/>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85" xfId="48991"/>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19" xfId="49032"/>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20" xfId="49031"/>
    <cellStyle name="Normal 2 2 4 2 2 3" xfId="7777"/>
    <cellStyle name="Normal 2 2 4 2 2 3 2" xfId="49033"/>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23" xfId="49030"/>
    <cellStyle name="Normal 2 2 4 2 3" xfId="7788"/>
    <cellStyle name="Normal 2 2 4 2 3 2" xfId="49034"/>
    <cellStyle name="Normal 2 2 4 2 4" xfId="7789"/>
    <cellStyle name="Normal 2 2 4 2 4 2" xfId="49035"/>
    <cellStyle name="Normal 2 2 4 2 5" xfId="7790"/>
    <cellStyle name="Normal 2 2 4 2 5 2" xfId="49036"/>
    <cellStyle name="Normal 2 2 4 2 6" xfId="7791"/>
    <cellStyle name="Normal 2 2 4 2 6 2" xfId="49037"/>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2 2" xfId="49039"/>
    <cellStyle name="Normal 2 2 4 3 3" xfId="7808"/>
    <cellStyle name="Normal 2 2 4 3 3 2" xfId="49040"/>
    <cellStyle name="Normal 2 2 4 3 4" xfId="4903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 2" xfId="49041"/>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 2" xfId="49042"/>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 2" xfId="49043"/>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84" xfId="49029"/>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19" xfId="49045"/>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 2" xfId="49046"/>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81" xfId="49044"/>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79" xfId="49047"/>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79" xfId="49048"/>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79" xfId="49049"/>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79" xfId="4905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0 2" xfId="49051"/>
    <cellStyle name="Normal 2 21" xfId="8535"/>
    <cellStyle name="Normal 2 21 2" xfId="49052"/>
    <cellStyle name="Normal 2 22" xfId="8536"/>
    <cellStyle name="Normal 2 22 2" xfId="49053"/>
    <cellStyle name="Normal 2 23" xfId="8537"/>
    <cellStyle name="Normal 2 23 2" xfId="49054"/>
    <cellStyle name="Normal 2 24" xfId="8538"/>
    <cellStyle name="Normal 2 24 2" xfId="49055"/>
    <cellStyle name="Normal 2 25" xfId="8539"/>
    <cellStyle name="Normal 2 25 2" xfId="49056"/>
    <cellStyle name="Normal 2 26" xfId="8540"/>
    <cellStyle name="Normal 2 26 2" xfId="49057"/>
    <cellStyle name="Normal 2 27" xfId="8541"/>
    <cellStyle name="Normal 2 27 2" xfId="49058"/>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19" xfId="49064"/>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20" xfId="49063"/>
    <cellStyle name="Normal 2 3 2 2 2 2 3" xfId="8617"/>
    <cellStyle name="Normal 2 3 2 2 2 2 3 2" xfId="49065"/>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23" xfId="49062"/>
    <cellStyle name="Normal 2 3 2 2 2 3" xfId="8628"/>
    <cellStyle name="Normal 2 3 2 2 2 3 2" xfId="49066"/>
    <cellStyle name="Normal 2 3 2 2 2 4" xfId="8629"/>
    <cellStyle name="Normal 2 3 2 2 2 4 2" xfId="49067"/>
    <cellStyle name="Normal 2 3 2 2 2 5" xfId="8630"/>
    <cellStyle name="Normal 2 3 2 2 2 5 2" xfId="49068"/>
    <cellStyle name="Normal 2 3 2 2 2 6" xfId="8631"/>
    <cellStyle name="Normal 2 3 2 2 2 6 2" xfId="49069"/>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2 2" xfId="49071"/>
    <cellStyle name="Normal 2 3 2 2 3 3" xfId="8648"/>
    <cellStyle name="Normal 2 3 2 2 3 3 2" xfId="49072"/>
    <cellStyle name="Normal 2 3 2 2 3 4" xfId="49070"/>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 2" xfId="49073"/>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 2" xfId="49074"/>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 2" xfId="49075"/>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84" xfId="49061"/>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19" xfId="4907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20" xfId="49076"/>
    <cellStyle name="Normal 2 3 2 3 3" xfId="8766"/>
    <cellStyle name="Normal 2 3 2 3 3 2" xfId="49078"/>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 2" xfId="49079"/>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 2" xfId="49080"/>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 2" xfId="49081"/>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 2" xfId="49082"/>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85" xfId="49060"/>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19" xfId="49085"/>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20" xfId="49084"/>
    <cellStyle name="Normal 2 3 3 2 3" xfId="8902"/>
    <cellStyle name="Normal 2 3 3 2 3 2" xfId="49086"/>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 2" xfId="49087"/>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 2" xfId="49088"/>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 2" xfId="49089"/>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 2" xfId="49090"/>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84" xfId="49083"/>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19" xfId="49092"/>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 2" xfId="49093"/>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81" xfId="49091"/>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 2" xfId="49094"/>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 2" xfId="49095"/>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 2" xfId="49096"/>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85" xfId="49059"/>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81" xfId="49097"/>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83" xfId="49101"/>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19" xfId="49102"/>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85" xfId="49100"/>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83" xfId="4910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15" xfId="49104"/>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14" xfId="4910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 5" xfId="49106"/>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88" xfId="49099"/>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83" xfId="49108"/>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19" xfId="49109"/>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85" xfId="49107"/>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83" xfId="49110"/>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15" xfId="49111"/>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15" xfId="49112"/>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88" xfId="49098"/>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79" xfId="49113"/>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79" xfId="49114"/>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79" xfId="49115"/>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79" xfId="49116"/>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71" xfId="49117"/>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71" xfId="49118"/>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71" xfId="49119"/>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2 5" xfId="49802"/>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 8" xfId="49474"/>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2 5" xfId="50040"/>
    <cellStyle name="Normal 23 3 3" xfId="11447"/>
    <cellStyle name="Normal 23 3 4" xfId="11448"/>
    <cellStyle name="Normal 23 3 5" xfId="11449"/>
    <cellStyle name="Normal 23 3 6" xfId="11450"/>
    <cellStyle name="Normal 23 3 7" xfId="49633"/>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 5" xfId="49727"/>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71" xfId="49120"/>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 8" xfId="49397"/>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71" xfId="49372"/>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14" xfId="49123"/>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22" xfId="49122"/>
    <cellStyle name="Normal 3 10 3" xfId="12212"/>
    <cellStyle name="Normal 3 10 3 2" xfId="49124"/>
    <cellStyle name="Normal 3 10 4" xfId="12213"/>
    <cellStyle name="Normal 3 10 4 2" xfId="49125"/>
    <cellStyle name="Normal 3 10 5" xfId="12214"/>
    <cellStyle name="Normal 3 10 5 2" xfId="49126"/>
    <cellStyle name="Normal 3 10 6" xfId="12215"/>
    <cellStyle name="Normal 3 10 6 2" xfId="49127"/>
    <cellStyle name="Normal 3 10 7" xfId="12216"/>
    <cellStyle name="Normal 3 10 7 2" xfId="49128"/>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18" xfId="49129"/>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18" xfId="49130"/>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3 2" xfId="49131"/>
    <cellStyle name="Normal 3 14" xfId="12253"/>
    <cellStyle name="Normal 3 14 2" xfId="49132"/>
    <cellStyle name="Normal 3 15" xfId="12254"/>
    <cellStyle name="Normal 3 15 2" xfId="49133"/>
    <cellStyle name="Normal 3 16" xfId="12255"/>
    <cellStyle name="Normal 3 16 2" xfId="49134"/>
    <cellStyle name="Normal 3 17" xfId="12256"/>
    <cellStyle name="Normal 3 17 2" xfId="49135"/>
    <cellStyle name="Normal 3 18" xfId="12257"/>
    <cellStyle name="Normal 3 18 2" xfId="49136"/>
    <cellStyle name="Normal 3 19" xfId="12258"/>
    <cellStyle name="Normal 3 19 2" xfId="49137"/>
    <cellStyle name="Normal 3 2" xfId="89"/>
    <cellStyle name="Normal 3 2 10" xfId="12259"/>
    <cellStyle name="Normal 3 2 10 2" xfId="49139"/>
    <cellStyle name="Normal 3 2 11" xfId="12260"/>
    <cellStyle name="Normal 3 2 11 2" xfId="49140"/>
    <cellStyle name="Normal 3 2 12" xfId="12261"/>
    <cellStyle name="Normal 3 2 12 2" xfId="49141"/>
    <cellStyle name="Normal 3 2 13" xfId="12262"/>
    <cellStyle name="Normal 3 2 13 2" xfId="49142"/>
    <cellStyle name="Normal 3 2 14" xfId="12263"/>
    <cellStyle name="Normal 3 2 14 2" xfId="49143"/>
    <cellStyle name="Normal 3 2 15" xfId="12264"/>
    <cellStyle name="Normal 3 2 15 2" xfId="49144"/>
    <cellStyle name="Normal 3 2 16" xfId="12265"/>
    <cellStyle name="Normal 3 2 16 2" xfId="4914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 2 9" xfId="49147"/>
    <cellStyle name="Normal 3 2 2 3" xfId="49148"/>
    <cellStyle name="Normal 3 2 2 4" xfId="49149"/>
    <cellStyle name="Normal 3 2 2 5" xfId="49150"/>
    <cellStyle name="Normal 3 2 2 6" xfId="49151"/>
    <cellStyle name="Normal 3 2 2 7" xfId="49152"/>
    <cellStyle name="Normal 3 2 2 8" xfId="49146"/>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18" xfId="49153"/>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18" xfId="49154"/>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 2" xfId="4915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 2" xfId="491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 2" xfId="4915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79" xfId="49138"/>
    <cellStyle name="Normal 3 2 8" xfId="12377"/>
    <cellStyle name="Normal 3 2 8 2" xfId="49158"/>
    <cellStyle name="Normal 3 2 9" xfId="12378"/>
    <cellStyle name="Normal 3 2 9 2" xfId="49159"/>
    <cellStyle name="Normal 3 2_3.1.2 DB Pension Detail" xfId="12379"/>
    <cellStyle name="Normal 3 20" xfId="12380"/>
    <cellStyle name="Normal 3 20 2" xfId="4916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28" xfId="49162"/>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85" xfId="49161"/>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84" xfId="49163"/>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83" xfId="49164"/>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83" xfId="49165"/>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83" xfId="49166"/>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83" xfId="49167"/>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22" xfId="4916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 91" xfId="49121"/>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19" xfId="49174"/>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20" xfId="49173"/>
    <cellStyle name="Normal 4 2 2 2 2 3" xfId="14789"/>
    <cellStyle name="Normal 4 2 2 2 2 3 2" xfId="49175"/>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23" xfId="49172"/>
    <cellStyle name="Normal 4 2 2 2 3" xfId="14800"/>
    <cellStyle name="Normal 4 2 2 2 3 2" xfId="49176"/>
    <cellStyle name="Normal 4 2 2 2 4" xfId="14801"/>
    <cellStyle name="Normal 4 2 2 2 4 2" xfId="49177"/>
    <cellStyle name="Normal 4 2 2 2 5" xfId="14802"/>
    <cellStyle name="Normal 4 2 2 2 5 2" xfId="49178"/>
    <cellStyle name="Normal 4 2 2 2 6" xfId="14803"/>
    <cellStyle name="Normal 4 2 2 2 6 2" xfId="49179"/>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23" xfId="49171"/>
    <cellStyle name="Normal 4 2 2 3" xfId="14811"/>
    <cellStyle name="Normal 4 2 2 3 2" xfId="14812"/>
    <cellStyle name="Normal 4 2 2 3 2 2" xfId="49181"/>
    <cellStyle name="Normal 4 2 2 3 3" xfId="14813"/>
    <cellStyle name="Normal 4 2 2 3 3 2" xfId="49182"/>
    <cellStyle name="Normal 4 2 2 3 4" xfId="49180"/>
    <cellStyle name="Normal 4 2 2 3_ELEC SAP FCST UPLOAD" xfId="14814"/>
    <cellStyle name="Normal 4 2 2 4" xfId="14815"/>
    <cellStyle name="Normal 4 2 2 4 2" xfId="49183"/>
    <cellStyle name="Normal 4 2 2 5" xfId="14816"/>
    <cellStyle name="Normal 4 2 2 5 2" xfId="49184"/>
    <cellStyle name="Normal 4 2 2 6" xfId="14817"/>
    <cellStyle name="Normal 4 2 2 6 2" xfId="49185"/>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24" xfId="49170"/>
    <cellStyle name="Normal 4 2 3" xfId="99"/>
    <cellStyle name="Normal 4 2 3 2" xfId="14826"/>
    <cellStyle name="Normal 4 2 3 2 2" xfId="49187"/>
    <cellStyle name="Normal 4 2 3 3" xfId="14827"/>
    <cellStyle name="Normal 4 2 3 3 2" xfId="49188"/>
    <cellStyle name="Normal 4 2 3 4" xfId="49186"/>
    <cellStyle name="Normal 4 2 3_ELEC SAP FCST UPLOAD" xfId="14828"/>
    <cellStyle name="Normal 4 2 4" xfId="14829"/>
    <cellStyle name="Normal 4 2 4 2" xfId="49189"/>
    <cellStyle name="Normal 4 2 5" xfId="14830"/>
    <cellStyle name="Normal 4 2 5 2" xfId="49190"/>
    <cellStyle name="Normal 4 2 6" xfId="14831"/>
    <cellStyle name="Normal 4 2 6 2" xfId="49191"/>
    <cellStyle name="Normal 4 2 7" xfId="14832"/>
    <cellStyle name="Normal 4 2 7 2" xfId="4919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2 2" xfId="49195"/>
    <cellStyle name="Normal 4 3 2 3" xfId="14849"/>
    <cellStyle name="Normal 4 3 2 3 2" xfId="49196"/>
    <cellStyle name="Normal 4 3 2 4" xfId="49194"/>
    <cellStyle name="Normal 4 3 2_ELEC SAP FCST UPLOAD" xfId="14850"/>
    <cellStyle name="Normal 4 3 3" xfId="14851"/>
    <cellStyle name="Normal 4 3 3 2" xfId="49197"/>
    <cellStyle name="Normal 4 3 4" xfId="14852"/>
    <cellStyle name="Normal 4 3 4 2" xfId="49198"/>
    <cellStyle name="Normal 4 3 5" xfId="14853"/>
    <cellStyle name="Normal 4 3 5 2" xfId="49199"/>
    <cellStyle name="Normal 4 3 6" xfId="14854"/>
    <cellStyle name="Normal 4 3 6 2" xfId="49200"/>
    <cellStyle name="Normal 4 3 7" xfId="49193"/>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 2" xfId="49201"/>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 2" xfId="49202"/>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 2" xfId="49203"/>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4" xfId="49169"/>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19" xfId="49207"/>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20" xfId="49206"/>
    <cellStyle name="Normal 5 2 2 3" xfId="16117"/>
    <cellStyle name="Normal 5 2 2 3 2" xfId="49208"/>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23" xfId="49205"/>
    <cellStyle name="Normal 5 2 3" xfId="16128"/>
    <cellStyle name="Normal 5 2 3 2" xfId="49209"/>
    <cellStyle name="Normal 5 2 4" xfId="16129"/>
    <cellStyle name="Normal 5 2 4 2" xfId="49210"/>
    <cellStyle name="Normal 5 2 5" xfId="16130"/>
    <cellStyle name="Normal 5 2 5 2" xfId="49211"/>
    <cellStyle name="Normal 5 2 6" xfId="16131"/>
    <cellStyle name="Normal 5 2 6 2" xfId="49212"/>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 9" xfId="4921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 9" xfId="49214"/>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 9" xfId="49215"/>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85" xfId="49204"/>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86" xfId="49216"/>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79" xfId="49217"/>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80" xfId="49218"/>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26" xfId="49219"/>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 3" xfId="49220"/>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al U 2" xfId="492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2 4" xfId="50186"/>
    <cellStyle name="Note 2 2 2 3" xfId="18147"/>
    <cellStyle name="Note 2 2 2 3 2" xfId="18148"/>
    <cellStyle name="Note 2 2 2 3 3" xfId="51393"/>
    <cellStyle name="Note 2 2 2 4" xfId="18149"/>
    <cellStyle name="Note 2 2 2 4 2" xfId="18150"/>
    <cellStyle name="Note 2 2 2 5" xfId="18151"/>
    <cellStyle name="Note 2 2 2 6" xfId="49812"/>
    <cellStyle name="Note 2 2 3" xfId="18152"/>
    <cellStyle name="Note 2 2 3 2" xfId="18153"/>
    <cellStyle name="Note 2 2 3 2 2" xfId="18154"/>
    <cellStyle name="Note 2 2 3 2 2 2" xfId="18155"/>
    <cellStyle name="Note 2 2 3 2 3" xfId="18156"/>
    <cellStyle name="Note 2 2 3 3" xfId="18157"/>
    <cellStyle name="Note 2 2 3 4" xfId="50555"/>
    <cellStyle name="Note 2 2 4" xfId="18158"/>
    <cellStyle name="Note 2 2 4 2" xfId="18159"/>
    <cellStyle name="Note 2 2 4 3" xfId="51491"/>
    <cellStyle name="Note 2 2 5" xfId="18160"/>
    <cellStyle name="Note 2 2 5 2" xfId="18161"/>
    <cellStyle name="Note 2 2 6" xfId="18162"/>
    <cellStyle name="Note 2 2 6 2" xfId="18163"/>
    <cellStyle name="Note 2 2 6 2 2" xfId="18164"/>
    <cellStyle name="Note 2 2 6 3" xfId="18165"/>
    <cellStyle name="Note 2 2 7" xfId="18166"/>
    <cellStyle name="Note 2 2 8" xfId="49484"/>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2 2" xfId="50204"/>
    <cellStyle name="Note 2 3 2 3" xfId="51160"/>
    <cellStyle name="Note 2 3 2 4" xfId="49793"/>
    <cellStyle name="Note 2 3 3" xfId="18179"/>
    <cellStyle name="Note 2 3 3 2" xfId="50573"/>
    <cellStyle name="Note 2 3 4" xfId="51478"/>
    <cellStyle name="Note 2 3 5" xfId="49465"/>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2 2 2" xfId="50195"/>
    <cellStyle name="Note 2 4 2 3" xfId="51382"/>
    <cellStyle name="Note 2 4 2 4" xfId="49803"/>
    <cellStyle name="Note 2 4 3" xfId="18193"/>
    <cellStyle name="Note 2 4 3 2" xfId="50564"/>
    <cellStyle name="Note 2 4 4" xfId="50945"/>
    <cellStyle name="Note 2 4 5" xfId="49475"/>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2 3" xfId="50424"/>
    <cellStyle name="Note 2 5 3" xfId="18207"/>
    <cellStyle name="Note 2 5 3 2" xfId="50653"/>
    <cellStyle name="Note 2 5 4" xfId="49634"/>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 2 2" xfId="51084"/>
    <cellStyle name="Note 2 6 3" xfId="51331"/>
    <cellStyle name="Note 2 6 4" xfId="5003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 3" xfId="50758"/>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 3" xfId="50881"/>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 3" xfId="50983"/>
    <cellStyle name="Note 2 90" xfId="18256"/>
    <cellStyle name="Note 2 91" xfId="18257"/>
    <cellStyle name="Note 2 92" xfId="18258"/>
    <cellStyle name="Note 2 93" xfId="18259"/>
    <cellStyle name="Note 2 94" xfId="18260"/>
    <cellStyle name="Note 2 95" xfId="49222"/>
    <cellStyle name="Note 3" xfId="18261"/>
    <cellStyle name="Note 3 10" xfId="49464"/>
    <cellStyle name="Note 3 10 2" xfId="49792"/>
    <cellStyle name="Note 3 10 2 2" xfId="50205"/>
    <cellStyle name="Note 3 10 2 3" xfId="51530"/>
    <cellStyle name="Note 3 10 3" xfId="50574"/>
    <cellStyle name="Note 3 10 4" xfId="51222"/>
    <cellStyle name="Note 3 11" xfId="49476"/>
    <cellStyle name="Note 3 11 2" xfId="49804"/>
    <cellStyle name="Note 3 11 2 2" xfId="50194"/>
    <cellStyle name="Note 3 11 2 3" xfId="51621"/>
    <cellStyle name="Note 3 11 3" xfId="50563"/>
    <cellStyle name="Note 3 11 4" xfId="51233"/>
    <cellStyle name="Note 3 12" xfId="49635"/>
    <cellStyle name="Note 3 12 2" xfId="50987"/>
    <cellStyle name="Note 3 12 3" xfId="50649"/>
    <cellStyle name="Note 3 13" xfId="50038"/>
    <cellStyle name="Note 3 13 2" xfId="51083"/>
    <cellStyle name="Note 3 13 3" xfId="51563"/>
    <cellStyle name="Note 3 14" xfId="50757"/>
    <cellStyle name="Note 3 15" xfId="50952"/>
    <cellStyle name="Note 3 16" xfId="51139"/>
    <cellStyle name="Note 3 17" xfId="49223"/>
    <cellStyle name="Note 3 2" xfId="18262"/>
    <cellStyle name="Note 3 2 10" xfId="49224"/>
    <cellStyle name="Note 3 2 2" xfId="18263"/>
    <cellStyle name="Note 3 2 2 2" xfId="49814"/>
    <cellStyle name="Note 3 2 2 2 2" xfId="50185"/>
    <cellStyle name="Note 3 2 2 2 3" xfId="51273"/>
    <cellStyle name="Note 3 2 2 3" xfId="50553"/>
    <cellStyle name="Note 3 2 2 4" xfId="51454"/>
    <cellStyle name="Note 3 2 2 5" xfId="49486"/>
    <cellStyle name="Note 3 2 3" xfId="49463"/>
    <cellStyle name="Note 3 2 3 2" xfId="49791"/>
    <cellStyle name="Note 3 2 3 2 2" xfId="50206"/>
    <cellStyle name="Note 3 2 3 2 3" xfId="51272"/>
    <cellStyle name="Note 3 2 3 3" xfId="50575"/>
    <cellStyle name="Note 3 2 3 4" xfId="51457"/>
    <cellStyle name="Note 3 2 4" xfId="49477"/>
    <cellStyle name="Note 3 2 4 2" xfId="49805"/>
    <cellStyle name="Note 3 2 4 2 2" xfId="50193"/>
    <cellStyle name="Note 3 2 4 2 3" xfId="51136"/>
    <cellStyle name="Note 3 2 4 3" xfId="50562"/>
    <cellStyle name="Note 3 2 4 4" xfId="51490"/>
    <cellStyle name="Note 3 2 5" xfId="49636"/>
    <cellStyle name="Note 3 2 5 2" xfId="50900"/>
    <cellStyle name="Note 3 2 5 3" xfId="50650"/>
    <cellStyle name="Note 3 2 6" xfId="50037"/>
    <cellStyle name="Note 3 2 6 2" xfId="51082"/>
    <cellStyle name="Note 3 2 6 3" xfId="51306"/>
    <cellStyle name="Note 3 2 7" xfId="50756"/>
    <cellStyle name="Note 3 2 8" xfId="50904"/>
    <cellStyle name="Note 3 2 9" xfId="50772"/>
    <cellStyle name="Note 3 3" xfId="18264"/>
    <cellStyle name="Note 3 3 10" xfId="49225"/>
    <cellStyle name="Note 3 3 2" xfId="18265"/>
    <cellStyle name="Note 3 3 2 2" xfId="49815"/>
    <cellStyle name="Note 3 3 2 2 2" xfId="50184"/>
    <cellStyle name="Note 3 3 2 2 3" xfId="51531"/>
    <cellStyle name="Note 3 3 2 3" xfId="50552"/>
    <cellStyle name="Note 3 3 2 4" xfId="51352"/>
    <cellStyle name="Note 3 3 2 5" xfId="49487"/>
    <cellStyle name="Note 3 3 3" xfId="49462"/>
    <cellStyle name="Note 3 3 3 2" xfId="49790"/>
    <cellStyle name="Note 3 3 3 2 2" xfId="50207"/>
    <cellStyle name="Note 3 3 3 2 3" xfId="50879"/>
    <cellStyle name="Note 3 3 3 3" xfId="50576"/>
    <cellStyle name="Note 3 3 3 4" xfId="51199"/>
    <cellStyle name="Note 3 3 4" xfId="49478"/>
    <cellStyle name="Note 3 3 4 2" xfId="49806"/>
    <cellStyle name="Note 3 3 4 2 2" xfId="50192"/>
    <cellStyle name="Note 3 3 4 2 3" xfId="50894"/>
    <cellStyle name="Note 3 3 4 3" xfId="50561"/>
    <cellStyle name="Note 3 3 4 4" xfId="51197"/>
    <cellStyle name="Note 3 3 5" xfId="49637"/>
    <cellStyle name="Note 3 3 5 2" xfId="50925"/>
    <cellStyle name="Note 3 3 5 3" xfId="50651"/>
    <cellStyle name="Note 3 3 6" xfId="50036"/>
    <cellStyle name="Note 3 3 6 2" xfId="51081"/>
    <cellStyle name="Note 3 3 6 3" xfId="51156"/>
    <cellStyle name="Note 3 3 7" xfId="50755"/>
    <cellStyle name="Note 3 3 8" xfId="50981"/>
    <cellStyle name="Note 3 3 9" xfId="50786"/>
    <cellStyle name="Note 3 4" xfId="18266"/>
    <cellStyle name="Note 3 4 10" xfId="49226"/>
    <cellStyle name="Note 3 4 2" xfId="49488"/>
    <cellStyle name="Note 3 4 2 2" xfId="49816"/>
    <cellStyle name="Note 3 4 2 2 2" xfId="50183"/>
    <cellStyle name="Note 3 4 2 2 3" xfId="51159"/>
    <cellStyle name="Note 3 4 2 3" xfId="50551"/>
    <cellStyle name="Note 3 4 2 4" xfId="51646"/>
    <cellStyle name="Note 3 4 3" xfId="49461"/>
    <cellStyle name="Note 3 4 3 2" xfId="49789"/>
    <cellStyle name="Note 3 4 3 2 2" xfId="50208"/>
    <cellStyle name="Note 3 4 3 2 3" xfId="51616"/>
    <cellStyle name="Note 3 4 3 3" xfId="50577"/>
    <cellStyle name="Note 3 4 3 4" xfId="51488"/>
    <cellStyle name="Note 3 4 4" xfId="49479"/>
    <cellStyle name="Note 3 4 4 2" xfId="49807"/>
    <cellStyle name="Note 3 4 4 2 2" xfId="50191"/>
    <cellStyle name="Note 3 4 4 2 3" xfId="50965"/>
    <cellStyle name="Note 3 4 4 3" xfId="50560"/>
    <cellStyle name="Note 3 4 4 4" xfId="51455"/>
    <cellStyle name="Note 3 4 5" xfId="49638"/>
    <cellStyle name="Note 3 4 5 2" xfId="50859"/>
    <cellStyle name="Note 3 4 5 3" xfId="51372"/>
    <cellStyle name="Note 3 4 6" xfId="50035"/>
    <cellStyle name="Note 3 4 6 2" xfId="51080"/>
    <cellStyle name="Note 3 4 6 3" xfId="51129"/>
    <cellStyle name="Note 3 4 7" xfId="50754"/>
    <cellStyle name="Note 3 4 8" xfId="50792"/>
    <cellStyle name="Note 3 4 9" xfId="50759"/>
    <cellStyle name="Note 3 5" xfId="49227"/>
    <cellStyle name="Note 3 5 2" xfId="49489"/>
    <cellStyle name="Note 3 5 2 2" xfId="49817"/>
    <cellStyle name="Note 3 5 2 2 2" xfId="50182"/>
    <cellStyle name="Note 3 5 2 2 3" xfId="51419"/>
    <cellStyle name="Note 3 5 2 3" xfId="50550"/>
    <cellStyle name="Note 3 5 2 4" xfId="50958"/>
    <cellStyle name="Note 3 5 3" xfId="49460"/>
    <cellStyle name="Note 3 5 3 2" xfId="49788"/>
    <cellStyle name="Note 3 5 3 2 2" xfId="50209"/>
    <cellStyle name="Note 3 5 3 2 3" xfId="51390"/>
    <cellStyle name="Note 3 5 3 3" xfId="50578"/>
    <cellStyle name="Note 3 5 3 4" xfId="51231"/>
    <cellStyle name="Note 3 5 4" xfId="49480"/>
    <cellStyle name="Note 3 5 4 2" xfId="49808"/>
    <cellStyle name="Note 3 5 4 2 2" xfId="50190"/>
    <cellStyle name="Note 3 5 4 2 3" xfId="51274"/>
    <cellStyle name="Note 3 5 4 3" xfId="50559"/>
    <cellStyle name="Note 3 5 4 4" xfId="51351"/>
    <cellStyle name="Note 3 5 5" xfId="49639"/>
    <cellStyle name="Note 3 5 5 2" xfId="50928"/>
    <cellStyle name="Note 3 5 5 3" xfId="50664"/>
    <cellStyle name="Note 3 5 6" xfId="50034"/>
    <cellStyle name="Note 3 5 6 2" xfId="51079"/>
    <cellStyle name="Note 3 5 6 3" xfId="50932"/>
    <cellStyle name="Note 3 5 7" xfId="50753"/>
    <cellStyle name="Note 3 5 8" xfId="50867"/>
    <cellStyle name="Note 3 5 9" xfId="50982"/>
    <cellStyle name="Note 3 6" xfId="49228"/>
    <cellStyle name="Note 3 6 2" xfId="49490"/>
    <cellStyle name="Note 3 6 2 2" xfId="49818"/>
    <cellStyle name="Note 3 6 2 2 2" xfId="50181"/>
    <cellStyle name="Note 3 6 2 2 3" xfId="51330"/>
    <cellStyle name="Note 3 6 2 3" xfId="50549"/>
    <cellStyle name="Note 3 6 2 4" xfId="51235"/>
    <cellStyle name="Note 3 6 3" xfId="49459"/>
    <cellStyle name="Note 3 6 3 2" xfId="49787"/>
    <cellStyle name="Note 3 6 3 2 2" xfId="50210"/>
    <cellStyle name="Note 3 6 3 2 3" xfId="51557"/>
    <cellStyle name="Note 3 6 3 3" xfId="50579"/>
    <cellStyle name="Note 3 6 3 4" xfId="50805"/>
    <cellStyle name="Note 3 6 4" xfId="49481"/>
    <cellStyle name="Note 3 6 4 2" xfId="49809"/>
    <cellStyle name="Note 3 6 4 2 2" xfId="50189"/>
    <cellStyle name="Note 3 6 4 2 3" xfId="51532"/>
    <cellStyle name="Note 3 6 4 3" xfId="50558"/>
    <cellStyle name="Note 3 6 4 4" xfId="51647"/>
    <cellStyle name="Note 3 6 5" xfId="49640"/>
    <cellStyle name="Note 3 6 5 2" xfId="50862"/>
    <cellStyle name="Note 3 6 5 3" xfId="51210"/>
    <cellStyle name="Note 3 6 6" xfId="49963"/>
    <cellStyle name="Note 3 6 6 2" xfId="51008"/>
    <cellStyle name="Note 3 6 6 3" xfId="51547"/>
    <cellStyle name="Note 3 6 7" xfId="50752"/>
    <cellStyle name="Note 3 6 8" xfId="50942"/>
    <cellStyle name="Note 3 6 9" xfId="50929"/>
    <cellStyle name="Note 3 7" xfId="49229"/>
    <cellStyle name="Note 3 7 2" xfId="49491"/>
    <cellStyle name="Note 3 7 2 2" xfId="49819"/>
    <cellStyle name="Note 3 7 2 2 2" xfId="50180"/>
    <cellStyle name="Note 3 7 2 2 3" xfId="51586"/>
    <cellStyle name="Note 3 7 2 3" xfId="50548"/>
    <cellStyle name="Note 3 7 2 4" xfId="51492"/>
    <cellStyle name="Note 3 7 3" xfId="49458"/>
    <cellStyle name="Note 3 7 3 2" xfId="49786"/>
    <cellStyle name="Note 3 7 3 2 2" xfId="50211"/>
    <cellStyle name="Note 3 7 3 2 3" xfId="51300"/>
    <cellStyle name="Note 3 7 3 3" xfId="50580"/>
    <cellStyle name="Note 3 7 3 4" xfId="51649"/>
    <cellStyle name="Note 3 7 4" xfId="49482"/>
    <cellStyle name="Note 3 7 4 2" xfId="49810"/>
    <cellStyle name="Note 3 7 4 2 2" xfId="50188"/>
    <cellStyle name="Note 3 7 4 2 3" xfId="51299"/>
    <cellStyle name="Note 3 7 4 3" xfId="50557"/>
    <cellStyle name="Note 3 7 4 4" xfId="50886"/>
    <cellStyle name="Note 3 7 5" xfId="49641"/>
    <cellStyle name="Note 3 7 5 2" xfId="50923"/>
    <cellStyle name="Note 3 7 5 3" xfId="50764"/>
    <cellStyle name="Note 3 7 6" xfId="50049"/>
    <cellStyle name="Note 3 7 6 2" xfId="51093"/>
    <cellStyle name="Note 3 7 6 3" xfId="51600"/>
    <cellStyle name="Note 3 7 7" xfId="50751"/>
    <cellStyle name="Note 3 7 8" xfId="50882"/>
    <cellStyle name="Note 3 7 9" xfId="50652"/>
    <cellStyle name="Note 3 8" xfId="49230"/>
    <cellStyle name="Note 3 8 2" xfId="49492"/>
    <cellStyle name="Note 3 8 2 2" xfId="49820"/>
    <cellStyle name="Note 3 8 2 2 2" xfId="50179"/>
    <cellStyle name="Note 3 8 2 2 3" xfId="51669"/>
    <cellStyle name="Note 3 8 2 3" xfId="50547"/>
    <cellStyle name="Note 3 8 2 4" xfId="51195"/>
    <cellStyle name="Note 3 8 3" xfId="49457"/>
    <cellStyle name="Note 3 8 3 2" xfId="49785"/>
    <cellStyle name="Note 3 8 3 2 2" xfId="50212"/>
    <cellStyle name="Note 3 8 3 2 3" xfId="51529"/>
    <cellStyle name="Note 3 8 3 3" xfId="50581"/>
    <cellStyle name="Note 3 8 3 4" xfId="51348"/>
    <cellStyle name="Note 3 8 4" xfId="49483"/>
    <cellStyle name="Note 3 8 4 2" xfId="49811"/>
    <cellStyle name="Note 3 8 4 2 2" xfId="50187"/>
    <cellStyle name="Note 3 8 4 2 3" xfId="51556"/>
    <cellStyle name="Note 3 8 4 3" xfId="50556"/>
    <cellStyle name="Note 3 8 4 4" xfId="51234"/>
    <cellStyle name="Note 3 8 5" xfId="49642"/>
    <cellStyle name="Note 3 8 5 2" xfId="50858"/>
    <cellStyle name="Note 3 8 5 3" xfId="50782"/>
    <cellStyle name="Note 3 8 6" xfId="50033"/>
    <cellStyle name="Note 3 8 6 2" xfId="51078"/>
    <cellStyle name="Note 3 8 6 3" xfId="51128"/>
    <cellStyle name="Note 3 8 7" xfId="50750"/>
    <cellStyle name="Note 3 8 8" xfId="50953"/>
    <cellStyle name="Note 3 8 9" xfId="50761"/>
    <cellStyle name="Note 3 9" xfId="49485"/>
    <cellStyle name="Note 3 9 2" xfId="49813"/>
    <cellStyle name="Note 3 9 2 2" xfId="50066"/>
    <cellStyle name="Note 3 9 2 3" xfId="51666"/>
    <cellStyle name="Note 3 9 3" xfId="50554"/>
    <cellStyle name="Note 3 9 4" xfId="5119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2 4" xfId="50178"/>
    <cellStyle name="Output 2 2 2 3" xfId="18327"/>
    <cellStyle name="Output 2 2 2 3 2" xfId="18328"/>
    <cellStyle name="Output 2 2 2 3 3" xfId="51336"/>
    <cellStyle name="Output 2 2 2 4" xfId="18329"/>
    <cellStyle name="Output 2 2 2 4 2" xfId="18330"/>
    <cellStyle name="Output 2 2 2 5" xfId="18331"/>
    <cellStyle name="Output 2 2 2 6" xfId="49821"/>
    <cellStyle name="Output 2 2 3" xfId="18332"/>
    <cellStyle name="Output 2 2 3 2" xfId="18333"/>
    <cellStyle name="Output 2 2 3 2 2" xfId="18334"/>
    <cellStyle name="Output 2 2 3 2 2 2" xfId="18335"/>
    <cellStyle name="Output 2 2 3 2 3" xfId="18336"/>
    <cellStyle name="Output 2 2 3 3" xfId="18337"/>
    <cellStyle name="Output 2 2 3 4" xfId="50546"/>
    <cellStyle name="Output 2 2 4" xfId="18338"/>
    <cellStyle name="Output 2 2 4 2" xfId="18339"/>
    <cellStyle name="Output 2 2 4 3" xfId="51453"/>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 8" xfId="49493"/>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2 2" xfId="50213"/>
    <cellStyle name="Output 2 3 2 3" xfId="51271"/>
    <cellStyle name="Output 2 3 2 4" xfId="49784"/>
    <cellStyle name="Output 2 3 3" xfId="18359"/>
    <cellStyle name="Output 2 3 3 2" xfId="50582"/>
    <cellStyle name="Output 2 3 4" xfId="51477"/>
    <cellStyle name="Output 2 3 5" xfId="49456"/>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2 4" xfId="50423"/>
    <cellStyle name="Output 2 4 3" xfId="18376"/>
    <cellStyle name="Output 2 4 3 2" xfId="50763"/>
    <cellStyle name="Output 2 4 4" xfId="49643"/>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49" xfId="49231"/>
    <cellStyle name="Output 2 5" xfId="18386"/>
    <cellStyle name="Output 2 5 2" xfId="18387"/>
    <cellStyle name="Output 2 5 2 2" xfId="18388"/>
    <cellStyle name="Output 2 5 2 2 2" xfId="18389"/>
    <cellStyle name="Output 2 5 2 3" xfId="18390"/>
    <cellStyle name="Output 2 5 2 4" xfId="51077"/>
    <cellStyle name="Output 2 5 3" xfId="18391"/>
    <cellStyle name="Output 2 5 3 2" xfId="51127"/>
    <cellStyle name="Output 2 5 4" xfId="50032"/>
    <cellStyle name="Output 2 6" xfId="18392"/>
    <cellStyle name="Output 2 6 2" xfId="18393"/>
    <cellStyle name="Output 2 6 3" xfId="50749"/>
    <cellStyle name="Output 2 7" xfId="18394"/>
    <cellStyle name="Output 2 7 2" xfId="18395"/>
    <cellStyle name="Output 2 7 3" xfId="50905"/>
    <cellStyle name="Output 2 8" xfId="18396"/>
    <cellStyle name="Output 2 9" xfId="18397"/>
    <cellStyle name="Output 3" xfId="18398"/>
    <cellStyle name="Output 3 2" xfId="18399"/>
    <cellStyle name="Output 3 2 2" xfId="18400"/>
    <cellStyle name="Output 3 2 2 2" xfId="50177"/>
    <cellStyle name="Output 3 2 2 3" xfId="50746"/>
    <cellStyle name="Output 3 2 2 4" xfId="49822"/>
    <cellStyle name="Output 3 2 3" xfId="50545"/>
    <cellStyle name="Output 3 2 4" xfId="51223"/>
    <cellStyle name="Output 3 2 5" xfId="49494"/>
    <cellStyle name="Output 3 3" xfId="18401"/>
    <cellStyle name="Output 3 3 2" xfId="18402"/>
    <cellStyle name="Output 3 3 2 2" xfId="50214"/>
    <cellStyle name="Output 3 3 2 3" xfId="50846"/>
    <cellStyle name="Output 3 3 2 4" xfId="49783"/>
    <cellStyle name="Output 3 3 3" xfId="50583"/>
    <cellStyle name="Output 3 3 4" xfId="51221"/>
    <cellStyle name="Output 3 3 5" xfId="49455"/>
    <cellStyle name="Output 3 4" xfId="18403"/>
    <cellStyle name="Output 3 4 2" xfId="50422"/>
    <cellStyle name="Output 3 4 3" xfId="50781"/>
    <cellStyle name="Output 3 4 4" xfId="49644"/>
    <cellStyle name="Output 3 5" xfId="50031"/>
    <cellStyle name="Output 3 5 2" xfId="51076"/>
    <cellStyle name="Output 3 5 3" xfId="50863"/>
    <cellStyle name="Output 3 6" xfId="50748"/>
    <cellStyle name="Output 3 7" xfId="50980"/>
    <cellStyle name="Output 3 8" xfId="49232"/>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0 96" xfId="49233"/>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2 5" xfId="49234"/>
    <cellStyle name="Percent 13" xfId="18944"/>
    <cellStyle name="Percent 13 2" xfId="18945"/>
    <cellStyle name="Percent 13 3" xfId="18946"/>
    <cellStyle name="Percent 13 4" xfId="18947"/>
    <cellStyle name="Percent 13 5" xfId="49235"/>
    <cellStyle name="Percent 14" xfId="49236"/>
    <cellStyle name="Percent 15" xfId="48239"/>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18" xfId="48243"/>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65" xfId="49237"/>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39" xfId="49240"/>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40" xfId="49239"/>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39" xfId="49242"/>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40" xfId="49241"/>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39" xfId="49244"/>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40" xfId="49243"/>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47" xfId="49238"/>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34" xfId="49376"/>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40" xfId="49246"/>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40" xfId="49245"/>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34" xfId="49377"/>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40" xfId="48242"/>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34" xfId="49378"/>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40" xfId="49247"/>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angeName 2" xfId="49248"/>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39" xfId="49250"/>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40" xfId="49249"/>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39" xfId="49252"/>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40" xfId="49251"/>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34" xfId="49379"/>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40" xfId="49253"/>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39" xfId="49255"/>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40" xfId="49254"/>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39" xfId="49257"/>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40" xfId="49256"/>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39" xfId="49259"/>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40" xfId="49258"/>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34" xfId="49380"/>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40" xfId="49261"/>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41" xfId="49260"/>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2 2" xfId="50171"/>
    <cellStyle name="SAPBEXaggData 2 2 3" xfId="50778"/>
    <cellStyle name="SAPBEXaggData 2 2 4" xfId="49834"/>
    <cellStyle name="SAPBEXaggData 2 3" xfId="45513"/>
    <cellStyle name="SAPBEXaggData 2 3 2" xfId="50533"/>
    <cellStyle name="SAPBEXaggData 2 4" xfId="50977"/>
    <cellStyle name="SAPBEXaggData 2 5" xfId="49506"/>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 2" xfId="49782"/>
    <cellStyle name="SAPBEXaggData 3 2 2" xfId="50215"/>
    <cellStyle name="SAPBEXaggData 3 2 3" xfId="51617"/>
    <cellStyle name="SAPBEXaggData 3 3" xfId="50584"/>
    <cellStyle name="SAPBEXaggData 3 4" xfId="51458"/>
    <cellStyle name="SAPBEXaggData 3 5" xfId="49454"/>
    <cellStyle name="SAPBEXaggData 30" xfId="45525"/>
    <cellStyle name="SAPBEXaggData 31" xfId="45526"/>
    <cellStyle name="SAPBEXaggData 32" xfId="45527"/>
    <cellStyle name="SAPBEXaggData 33" xfId="49262"/>
    <cellStyle name="SAPBEXaggData 4" xfId="45528"/>
    <cellStyle name="SAPBEXaggData 4 2" xfId="49823"/>
    <cellStyle name="SAPBEXaggData 4 2 2" xfId="50176"/>
    <cellStyle name="SAPBEXaggData 4 2 3" xfId="50777"/>
    <cellStyle name="SAPBEXaggData 4 3" xfId="50544"/>
    <cellStyle name="SAPBEXaggData 4 4" xfId="51479"/>
    <cellStyle name="SAPBEXaggData 4 5" xfId="49495"/>
    <cellStyle name="SAPBEXaggData 5" xfId="45529"/>
    <cellStyle name="SAPBEXaggData 5 2" xfId="50421"/>
    <cellStyle name="SAPBEXaggData 5 3" xfId="50766"/>
    <cellStyle name="SAPBEXaggData 5 4" xfId="49645"/>
    <cellStyle name="SAPBEXaggData 6" xfId="45530"/>
    <cellStyle name="SAPBEXaggData 6 2" xfId="51075"/>
    <cellStyle name="SAPBEXaggData 6 3" xfId="51126"/>
    <cellStyle name="SAPBEXaggData 6 4" xfId="50030"/>
    <cellStyle name="SAPBEXaggData 7" xfId="45531"/>
    <cellStyle name="SAPBEXaggData 7 2" xfId="50743"/>
    <cellStyle name="SAPBEXaggData 8" xfId="45532"/>
    <cellStyle name="SAPBEXaggData 8 2" xfId="51467"/>
    <cellStyle name="SAPBEXaggData 9" xfId="45533"/>
    <cellStyle name="SAPBEXaggData 9 2" xfId="51211"/>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2 2" xfId="50170"/>
    <cellStyle name="SAPBEXaggDataEmph 2 2 3" xfId="50768"/>
    <cellStyle name="SAPBEXaggDataEmph 2 2 4" xfId="49835"/>
    <cellStyle name="SAPBEXaggDataEmph 2 3" xfId="45547"/>
    <cellStyle name="SAPBEXaggDataEmph 2 3 2" xfId="50532"/>
    <cellStyle name="SAPBEXaggDataEmph 2 4" xfId="50806"/>
    <cellStyle name="SAPBEXaggDataEmph 2 5" xfId="4950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 2" xfId="49781"/>
    <cellStyle name="SAPBEXaggDataEmph 3 2 2" xfId="50216"/>
    <cellStyle name="SAPBEXaggDataEmph 3 2 3" xfId="51389"/>
    <cellStyle name="SAPBEXaggDataEmph 3 3" xfId="50585"/>
    <cellStyle name="SAPBEXaggDataEmph 3 4" xfId="51200"/>
    <cellStyle name="SAPBEXaggDataEmph 3 5" xfId="49453"/>
    <cellStyle name="SAPBEXaggDataEmph 30" xfId="45559"/>
    <cellStyle name="SAPBEXaggDataEmph 31" xfId="45560"/>
    <cellStyle name="SAPBEXaggDataEmph 32" xfId="45561"/>
    <cellStyle name="SAPBEXaggDataEmph 33" xfId="49263"/>
    <cellStyle name="SAPBEXaggDataEmph 4" xfId="45562"/>
    <cellStyle name="SAPBEXaggDataEmph 4 2" xfId="49824"/>
    <cellStyle name="SAPBEXaggDataEmph 4 2 2" xfId="50175"/>
    <cellStyle name="SAPBEXaggDataEmph 4 2 3" xfId="50818"/>
    <cellStyle name="SAPBEXaggDataEmph 4 3" xfId="50543"/>
    <cellStyle name="SAPBEXaggDataEmph 4 4" xfId="51353"/>
    <cellStyle name="SAPBEXaggDataEmph 4 5" xfId="49496"/>
    <cellStyle name="SAPBEXaggDataEmph 5" xfId="45563"/>
    <cellStyle name="SAPBEXaggDataEmph 5 2" xfId="50420"/>
    <cellStyle name="SAPBEXaggDataEmph 5 3" xfId="50831"/>
    <cellStyle name="SAPBEXaggDataEmph 5 4" xfId="49646"/>
    <cellStyle name="SAPBEXaggDataEmph 6" xfId="45564"/>
    <cellStyle name="SAPBEXaggDataEmph 6 2" xfId="51074"/>
    <cellStyle name="SAPBEXaggDataEmph 6 3" xfId="51601"/>
    <cellStyle name="SAPBEXaggDataEmph 6 4" xfId="50029"/>
    <cellStyle name="SAPBEXaggDataEmph 7" xfId="45565"/>
    <cellStyle name="SAPBEXaggDataEmph 7 2" xfId="50742"/>
    <cellStyle name="SAPBEXaggDataEmph 8" xfId="45566"/>
    <cellStyle name="SAPBEXaggDataEmph 8 2" xfId="51212"/>
    <cellStyle name="SAPBEXaggDataEmph 9" xfId="45567"/>
    <cellStyle name="SAPBEXaggDataEmph 9 2" xfId="50774"/>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2 2" xfId="50169"/>
    <cellStyle name="SAPBEXaggItem 2 2 3" xfId="50784"/>
    <cellStyle name="SAPBEXaggItem 2 2 4" xfId="49836"/>
    <cellStyle name="SAPBEXaggItem 2 3" xfId="45581"/>
    <cellStyle name="SAPBEXaggItem 2 3 2" xfId="50531"/>
    <cellStyle name="SAPBEXaggItem 2 4" xfId="51237"/>
    <cellStyle name="SAPBEXaggItem 2 5" xfId="49508"/>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 2" xfId="49780"/>
    <cellStyle name="SAPBEXaggItem 3 2 2" xfId="50217"/>
    <cellStyle name="SAPBEXaggItem 3 2 3" xfId="51421"/>
    <cellStyle name="SAPBEXaggItem 3 3" xfId="50586"/>
    <cellStyle name="SAPBEXaggItem 3 4" xfId="51487"/>
    <cellStyle name="SAPBEXaggItem 3 5" xfId="49452"/>
    <cellStyle name="SAPBEXaggItem 30" xfId="45593"/>
    <cellStyle name="SAPBEXaggItem 31" xfId="45594"/>
    <cellStyle name="SAPBEXaggItem 32" xfId="45595"/>
    <cellStyle name="SAPBEXaggItem 33" xfId="49264"/>
    <cellStyle name="SAPBEXaggItem 4" xfId="45596"/>
    <cellStyle name="SAPBEXaggItem 4 2" xfId="49825"/>
    <cellStyle name="SAPBEXaggItem 4 2 2" xfId="50174"/>
    <cellStyle name="SAPBEXaggItem 4 2 3" xfId="50855"/>
    <cellStyle name="SAPBEXaggItem 4 3" xfId="50542"/>
    <cellStyle name="SAPBEXaggItem 4 4" xfId="51645"/>
    <cellStyle name="SAPBEXaggItem 4 5" xfId="49497"/>
    <cellStyle name="SAPBEXaggItem 5" xfId="45597"/>
    <cellStyle name="SAPBEXaggItem 5 2" xfId="50419"/>
    <cellStyle name="SAPBEXaggItem 5 3" xfId="51629"/>
    <cellStyle name="SAPBEXaggItem 5 4" xfId="49647"/>
    <cellStyle name="SAPBEXaggItem 6" xfId="45598"/>
    <cellStyle name="SAPBEXaggItem 6 2" xfId="51073"/>
    <cellStyle name="SAPBEXaggItem 6 3" xfId="50919"/>
    <cellStyle name="SAPBEXaggItem 6 4" xfId="50028"/>
    <cellStyle name="SAPBEXaggItem 7" xfId="45599"/>
    <cellStyle name="SAPBEXaggItem 7 2" xfId="50741"/>
    <cellStyle name="SAPBEXaggItem 8" xfId="45600"/>
    <cellStyle name="SAPBEXaggItem 8 2" xfId="51469"/>
    <cellStyle name="SAPBEXaggItem 9" xfId="45601"/>
    <cellStyle name="SAPBEXaggItem 9 2" xfId="51678"/>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2 2" xfId="50168"/>
    <cellStyle name="SAPBEXaggItemX 2 2 3" xfId="51668"/>
    <cellStyle name="SAPBEXaggItemX 2 2 4" xfId="49837"/>
    <cellStyle name="SAPBEXaggItemX 2 3" xfId="45615"/>
    <cellStyle name="SAPBEXaggItemX 2 3 2" xfId="50530"/>
    <cellStyle name="SAPBEXaggItemX 2 4" xfId="51494"/>
    <cellStyle name="SAPBEXaggItemX 2 5" xfId="49509"/>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 2" xfId="49779"/>
    <cellStyle name="SAPBEXaggItemX 3 2 2" xfId="50218"/>
    <cellStyle name="SAPBEXaggItemX 3 2 3" xfId="51161"/>
    <cellStyle name="SAPBEXaggItemX 3 3" xfId="50587"/>
    <cellStyle name="SAPBEXaggItemX 3 4" xfId="51230"/>
    <cellStyle name="SAPBEXaggItemX 3 5" xfId="49451"/>
    <cellStyle name="SAPBEXaggItemX 30" xfId="45627"/>
    <cellStyle name="SAPBEXaggItemX 31" xfId="45628"/>
    <cellStyle name="SAPBEXaggItemX 32" xfId="45629"/>
    <cellStyle name="SAPBEXaggItemX 33" xfId="49265"/>
    <cellStyle name="SAPBEXaggItemX 4" xfId="45630"/>
    <cellStyle name="SAPBEXaggItemX 4 2" xfId="50418"/>
    <cellStyle name="SAPBEXaggItemX 4 3" xfId="50663"/>
    <cellStyle name="SAPBEXaggItemX 4 4" xfId="49648"/>
    <cellStyle name="SAPBEXaggItemX 5" xfId="45631"/>
    <cellStyle name="SAPBEXaggItemX 5 2" xfId="51072"/>
    <cellStyle name="SAPBEXaggItemX 5 3" xfId="51414"/>
    <cellStyle name="SAPBEXaggItemX 5 4" xfId="50027"/>
    <cellStyle name="SAPBEXaggItemX 6" xfId="45632"/>
    <cellStyle name="SAPBEXaggItemX 6 2" xfId="50740"/>
    <cellStyle name="SAPBEXaggItemX 7" xfId="45633"/>
    <cellStyle name="SAPBEXaggItemX 7 2" xfId="51338"/>
    <cellStyle name="SAPBEXaggItemX 8" xfId="45634"/>
    <cellStyle name="SAPBEXaggItemX 9" xfId="45635"/>
    <cellStyle name="SAPBEXchaText" xfId="37"/>
    <cellStyle name="SAPBEXchaText 10" xfId="49266"/>
    <cellStyle name="SAPBEXchaText 2" xfId="45636"/>
    <cellStyle name="SAPBEXchaText 2 2" xfId="49838"/>
    <cellStyle name="SAPBEXchaText 2 2 2" xfId="50167"/>
    <cellStyle name="SAPBEXchaText 2 2 3" xfId="50817"/>
    <cellStyle name="SAPBEXchaText 2 3" xfId="50529"/>
    <cellStyle name="SAPBEXchaText 2 4" xfId="51193"/>
    <cellStyle name="SAPBEXchaText 2 5" xfId="49510"/>
    <cellStyle name="SAPBEXchaText 3" xfId="49450"/>
    <cellStyle name="SAPBEXchaText 3 2" xfId="49778"/>
    <cellStyle name="SAPBEXchaText 3 2 2" xfId="50219"/>
    <cellStyle name="SAPBEXchaText 3 2 3" xfId="51528"/>
    <cellStyle name="SAPBEXchaText 3 3" xfId="50588"/>
    <cellStyle name="SAPBEXchaText 3 4" xfId="50978"/>
    <cellStyle name="SAPBEXchaText 4" xfId="49498"/>
    <cellStyle name="SAPBEXchaText 4 2" xfId="49826"/>
    <cellStyle name="SAPBEXchaText 4 2 2" xfId="50173"/>
    <cellStyle name="SAPBEXchaText 4 2 3" xfId="50655"/>
    <cellStyle name="SAPBEXchaText 4 3" xfId="50541"/>
    <cellStyle name="SAPBEXchaText 4 4" xfId="50896"/>
    <cellStyle name="SAPBEXchaText 5" xfId="49649"/>
    <cellStyle name="SAPBEXchaText 5 2" xfId="50417"/>
    <cellStyle name="SAPBEXchaText 5 3" xfId="51468"/>
    <cellStyle name="SAPBEXchaText 6" xfId="50026"/>
    <cellStyle name="SAPBEXchaText 6 2" xfId="51071"/>
    <cellStyle name="SAPBEXchaText 6 3" xfId="51584"/>
    <cellStyle name="SAPBEXchaText 7" xfId="50739"/>
    <cellStyle name="SAPBEXchaText 8" xfId="51664"/>
    <cellStyle name="SAPBEXchaText 9" xfId="51680"/>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2 2" xfId="50166"/>
    <cellStyle name="SAPBEXexcBad7 2 2 3" xfId="50876"/>
    <cellStyle name="SAPBEXexcBad7 2 2 4" xfId="49839"/>
    <cellStyle name="SAPBEXexcBad7 2 3" xfId="45650"/>
    <cellStyle name="SAPBEXexcBad7 2 3 2" xfId="50528"/>
    <cellStyle name="SAPBEXexcBad7 2 4" xfId="51451"/>
    <cellStyle name="SAPBEXexcBad7 2 5" xfId="49511"/>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 2" xfId="49777"/>
    <cellStyle name="SAPBEXexcBad7 3 2 2" xfId="50220"/>
    <cellStyle name="SAPBEXexcBad7 3 2 3" xfId="51270"/>
    <cellStyle name="SAPBEXexcBad7 3 3" xfId="50589"/>
    <cellStyle name="SAPBEXexcBad7 3 4" xfId="51650"/>
    <cellStyle name="SAPBEXexcBad7 3 5" xfId="49449"/>
    <cellStyle name="SAPBEXexcBad7 30" xfId="45662"/>
    <cellStyle name="SAPBEXexcBad7 31" xfId="45663"/>
    <cellStyle name="SAPBEXexcBad7 32" xfId="45664"/>
    <cellStyle name="SAPBEXexcBad7 33" xfId="49267"/>
    <cellStyle name="SAPBEXexcBad7 4" xfId="45665"/>
    <cellStyle name="SAPBEXexcBad7 4 2" xfId="49827"/>
    <cellStyle name="SAPBEXexcBad7 4 2 2" xfId="50172"/>
    <cellStyle name="SAPBEXexcBad7 4 2 3" xfId="50832"/>
    <cellStyle name="SAPBEXexcBad7 4 3" xfId="50540"/>
    <cellStyle name="SAPBEXexcBad7 4 4" xfId="50967"/>
    <cellStyle name="SAPBEXexcBad7 4 5" xfId="49499"/>
    <cellStyle name="SAPBEXexcBad7 5" xfId="45666"/>
    <cellStyle name="SAPBEXexcBad7 5 2" xfId="50416"/>
    <cellStyle name="SAPBEXexcBad7 5 3" xfId="50765"/>
    <cellStyle name="SAPBEXexcBad7 5 4" xfId="49650"/>
    <cellStyle name="SAPBEXexcBad7 6" xfId="45667"/>
    <cellStyle name="SAPBEXexcBad7 6 2" xfId="51070"/>
    <cellStyle name="SAPBEXexcBad7 6 3" xfId="51327"/>
    <cellStyle name="SAPBEXexcBad7 6 4" xfId="50025"/>
    <cellStyle name="SAPBEXexcBad7 7" xfId="45668"/>
    <cellStyle name="SAPBEXexcBad7 7 2" xfId="50738"/>
    <cellStyle name="SAPBEXexcBad7 8" xfId="45669"/>
    <cellStyle name="SAPBEXexcBad7 8 2" xfId="50906"/>
    <cellStyle name="SAPBEXexcBad7 9" xfId="45670"/>
    <cellStyle name="SAPBEXexcBad7 9 2" xfId="50939"/>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2 2" xfId="50165"/>
    <cellStyle name="SAPBEXexcBad8 2 2 3" xfId="51276"/>
    <cellStyle name="SAPBEXexcBad8 2 2 4" xfId="49840"/>
    <cellStyle name="SAPBEXexcBad8 2 3" xfId="45684"/>
    <cellStyle name="SAPBEXexcBad8 2 3 2" xfId="50527"/>
    <cellStyle name="SAPBEXexcBad8 2 4" xfId="51355"/>
    <cellStyle name="SAPBEXexcBad8 2 5" xfId="49512"/>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 2" xfId="49776"/>
    <cellStyle name="SAPBEXexcBad8 3 2 2" xfId="50221"/>
    <cellStyle name="SAPBEXexcBad8 3 2 3" xfId="50816"/>
    <cellStyle name="SAPBEXexcBad8 3 3" xfId="50590"/>
    <cellStyle name="SAPBEXexcBad8 3 4" xfId="51347"/>
    <cellStyle name="SAPBEXexcBad8 3 5" xfId="49448"/>
    <cellStyle name="SAPBEXexcBad8 30" xfId="45696"/>
    <cellStyle name="SAPBEXexcBad8 31" xfId="45697"/>
    <cellStyle name="SAPBEXexcBad8 32" xfId="45698"/>
    <cellStyle name="SAPBEXexcBad8 33" xfId="49268"/>
    <cellStyle name="SAPBEXexcBad8 4" xfId="45699"/>
    <cellStyle name="SAPBEXexcBad8 4 2" xfId="49828"/>
    <cellStyle name="SAPBEXexcBad8 4 2 2" xfId="50836"/>
    <cellStyle name="SAPBEXexcBad8 4 2 3" xfId="51392"/>
    <cellStyle name="SAPBEXexcBad8 4 3" xfId="50539"/>
    <cellStyle name="SAPBEXexcBad8 4 4" xfId="51236"/>
    <cellStyle name="SAPBEXexcBad8 4 5" xfId="49500"/>
    <cellStyle name="SAPBEXexcBad8 5" xfId="45700"/>
    <cellStyle name="SAPBEXexcBad8 5 2" xfId="50415"/>
    <cellStyle name="SAPBEXexcBad8 5 3" xfId="50783"/>
    <cellStyle name="SAPBEXexcBad8 5 4" xfId="49651"/>
    <cellStyle name="SAPBEXexcBad8 6" xfId="45701"/>
    <cellStyle name="SAPBEXexcBad8 6 2" xfId="51069"/>
    <cellStyle name="SAPBEXexcBad8 6 3" xfId="51554"/>
    <cellStyle name="SAPBEXexcBad8 6 4" xfId="50024"/>
    <cellStyle name="SAPBEXexcBad8 7" xfId="45702"/>
    <cellStyle name="SAPBEXexcBad8 7 2" xfId="50737"/>
    <cellStyle name="SAPBEXexcBad8 8" xfId="45703"/>
    <cellStyle name="SAPBEXexcBad8 8 2" xfId="51215"/>
    <cellStyle name="SAPBEXexcBad8 9" xfId="45704"/>
    <cellStyle name="SAPBEXexcBad8 9 2" xfId="50760"/>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2 2" xfId="50164"/>
    <cellStyle name="SAPBEXexcBad9 2 2 3" xfId="51534"/>
    <cellStyle name="SAPBEXexcBad9 2 2 4" xfId="49841"/>
    <cellStyle name="SAPBEXexcBad9 2 3" xfId="45718"/>
    <cellStyle name="SAPBEXexcBad9 2 3 2" xfId="50526"/>
    <cellStyle name="SAPBEXexcBad9 2 4" xfId="51643"/>
    <cellStyle name="SAPBEXexcBad9 2 5" xfId="49513"/>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 2" xfId="49775"/>
    <cellStyle name="SAPBEXexcBad9 3 2 2" xfId="50222"/>
    <cellStyle name="SAPBEXexcBad9 3 2 3" xfId="51591"/>
    <cellStyle name="SAPBEXexcBad9 3 3" xfId="50591"/>
    <cellStyle name="SAPBEXexcBad9 3 4" xfId="51564"/>
    <cellStyle name="SAPBEXexcBad9 3 5" xfId="49447"/>
    <cellStyle name="SAPBEXexcBad9 30" xfId="45730"/>
    <cellStyle name="SAPBEXexcBad9 31" xfId="45731"/>
    <cellStyle name="SAPBEXexcBad9 32" xfId="45732"/>
    <cellStyle name="SAPBEXexcBad9 33" xfId="49269"/>
    <cellStyle name="SAPBEXexcBad9 4" xfId="45733"/>
    <cellStyle name="SAPBEXexcBad9 4 2" xfId="50414"/>
    <cellStyle name="SAPBEXexcBad9 4 3" xfId="50762"/>
    <cellStyle name="SAPBEXexcBad9 4 4" xfId="49652"/>
    <cellStyle name="SAPBEXexcBad9 5" xfId="45734"/>
    <cellStyle name="SAPBEXexcBad9 5 2" xfId="51068"/>
    <cellStyle name="SAPBEXexcBad9 5 3" xfId="51296"/>
    <cellStyle name="SAPBEXexcBad9 5 4" xfId="50023"/>
    <cellStyle name="SAPBEXexcBad9 6" xfId="45735"/>
    <cellStyle name="SAPBEXexcBad9 6 2" xfId="50736"/>
    <cellStyle name="SAPBEXexcBad9 7" xfId="45736"/>
    <cellStyle name="SAPBEXexcBad9 7 2" xfId="51472"/>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2 2" xfId="50849"/>
    <cellStyle name="SAPBEXexcCritical4 2 2 3" xfId="51308"/>
    <cellStyle name="SAPBEXexcCritical4 2 2 4" xfId="49842"/>
    <cellStyle name="SAPBEXexcCritical4 2 3" xfId="45752"/>
    <cellStyle name="SAPBEXexcCritical4 2 3 2" xfId="50525"/>
    <cellStyle name="SAPBEXexcCritical4 2 4" xfId="50946"/>
    <cellStyle name="SAPBEXexcCritical4 2 5" xfId="49514"/>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 2" xfId="49774"/>
    <cellStyle name="SAPBEXexcCritical4 3 2 2" xfId="50223"/>
    <cellStyle name="SAPBEXexcCritical4 3 2 3" xfId="51388"/>
    <cellStyle name="SAPBEXexcCritical4 3 3" xfId="50592"/>
    <cellStyle name="SAPBEXexcCritical4 3 4" xfId="51307"/>
    <cellStyle name="SAPBEXexcCritical4 3 5" xfId="49446"/>
    <cellStyle name="SAPBEXexcCritical4 30" xfId="45764"/>
    <cellStyle name="SAPBEXexcCritical4 31" xfId="45765"/>
    <cellStyle name="SAPBEXexcCritical4 32" xfId="45766"/>
    <cellStyle name="SAPBEXexcCritical4 33" xfId="49270"/>
    <cellStyle name="SAPBEXexcCritical4 4" xfId="45767"/>
    <cellStyle name="SAPBEXexcCritical4 4 2" xfId="49922"/>
    <cellStyle name="SAPBEXexcCritical4 4 2 2" xfId="50088"/>
    <cellStyle name="SAPBEXexcCritical4 4 2 3" xfId="51107"/>
    <cellStyle name="SAPBEXexcCritical4 4 3" xfId="50445"/>
    <cellStyle name="SAPBEXexcCritical4 4 4" xfId="51240"/>
    <cellStyle name="SAPBEXexcCritical4 4 5" xfId="49594"/>
    <cellStyle name="SAPBEXexcCritical4 5" xfId="45768"/>
    <cellStyle name="SAPBEXexcCritical4 5 2" xfId="50413"/>
    <cellStyle name="SAPBEXexcCritical4 5 3" xfId="50780"/>
    <cellStyle name="SAPBEXexcCritical4 5 4" xfId="49653"/>
    <cellStyle name="SAPBEXexcCritical4 6" xfId="45769"/>
    <cellStyle name="SAPBEXexcCritical4 6 2" xfId="51067"/>
    <cellStyle name="SAPBEXexcCritical4 6 3" xfId="51125"/>
    <cellStyle name="SAPBEXexcCritical4 6 4" xfId="50022"/>
    <cellStyle name="SAPBEXexcCritical4 7" xfId="45770"/>
    <cellStyle name="SAPBEXexcCritical4 7 2" xfId="50735"/>
    <cellStyle name="SAPBEXexcCritical4 8" xfId="45771"/>
    <cellStyle name="SAPBEXexcCritical4 8 2" xfId="51208"/>
    <cellStyle name="SAPBEXexcCritical4 9" xfId="45772"/>
    <cellStyle name="SAPBEXexcCritical4 9 2" xfId="51684"/>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2 2" xfId="50065"/>
    <cellStyle name="SAPBEXexcCritical5 2 2 3" xfId="51565"/>
    <cellStyle name="SAPBEXexcCritical5 2 2 4" xfId="49843"/>
    <cellStyle name="SAPBEXexcCritical5 2 3" xfId="45786"/>
    <cellStyle name="SAPBEXexcCritical5 2 3 2" xfId="50524"/>
    <cellStyle name="SAPBEXexcCritical5 2 4" xfId="50887"/>
    <cellStyle name="SAPBEXexcCritical5 2 5" xfId="49515"/>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 2" xfId="49773"/>
    <cellStyle name="SAPBEXexcCritical5 3 2 2" xfId="50224"/>
    <cellStyle name="SAPBEXexcCritical5 3 2 3" xfId="51422"/>
    <cellStyle name="SAPBEXexcCritical5 3 3" xfId="50593"/>
    <cellStyle name="SAPBEXexcCritical5 3 4" xfId="51459"/>
    <cellStyle name="SAPBEXexcCritical5 3 5" xfId="49445"/>
    <cellStyle name="SAPBEXexcCritical5 30" xfId="45798"/>
    <cellStyle name="SAPBEXexcCritical5 31" xfId="45799"/>
    <cellStyle name="SAPBEXexcCritical5 32" xfId="45800"/>
    <cellStyle name="SAPBEXexcCritical5 33" xfId="49271"/>
    <cellStyle name="SAPBEXexcCritical5 4" xfId="45801"/>
    <cellStyle name="SAPBEXexcCritical5 4 2" xfId="49923"/>
    <cellStyle name="SAPBEXexcCritical5 4 2 2" xfId="50826"/>
    <cellStyle name="SAPBEXexcCritical5 4 2 3" xfId="51154"/>
    <cellStyle name="SAPBEXexcCritical5 4 3" xfId="50444"/>
    <cellStyle name="SAPBEXexcCritical5 4 4" xfId="51497"/>
    <cellStyle name="SAPBEXexcCritical5 4 5" xfId="49595"/>
    <cellStyle name="SAPBEXexcCritical5 5" xfId="45802"/>
    <cellStyle name="SAPBEXexcCritical5 5 2" xfId="50412"/>
    <cellStyle name="SAPBEXexcCritical5 5 3" xfId="50767"/>
    <cellStyle name="SAPBEXexcCritical5 5 4" xfId="49654"/>
    <cellStyle name="SAPBEXexcCritical5 6" xfId="45803"/>
    <cellStyle name="SAPBEXexcCritical5 6 2" xfId="51066"/>
    <cellStyle name="SAPBEXexcCritical5 6 3" xfId="51124"/>
    <cellStyle name="SAPBEXexcCritical5 6 4" xfId="50021"/>
    <cellStyle name="SAPBEXexcCritical5 7" xfId="45804"/>
    <cellStyle name="SAPBEXexcCritical5 7 2" xfId="50734"/>
    <cellStyle name="SAPBEXexcCritical5 8" xfId="45805"/>
    <cellStyle name="SAPBEXexcCritical5 8 2" xfId="51466"/>
    <cellStyle name="SAPBEXexcCritical5 9" xfId="45806"/>
    <cellStyle name="SAPBEXexcCritical5 9 2" xfId="50791"/>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2 2" xfId="50163"/>
    <cellStyle name="SAPBEXexcCritical6 2 2 3" xfId="51395"/>
    <cellStyle name="SAPBEXexcCritical6 2 2 4" xfId="49844"/>
    <cellStyle name="SAPBEXexcCritical6 2 3" xfId="45820"/>
    <cellStyle name="SAPBEXexcCritical6 2 3 2" xfId="50523"/>
    <cellStyle name="SAPBEXexcCritical6 2 4" xfId="51239"/>
    <cellStyle name="SAPBEXexcCritical6 2 5" xfId="49516"/>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 2" xfId="49772"/>
    <cellStyle name="SAPBEXexcCritical6 3 2 2" xfId="50225"/>
    <cellStyle name="SAPBEXexcCritical6 3 2 3" xfId="51162"/>
    <cellStyle name="SAPBEXexcCritical6 3 3" xfId="50594"/>
    <cellStyle name="SAPBEXexcCritical6 3 4" xfId="51201"/>
    <cellStyle name="SAPBEXexcCritical6 3 5" xfId="49444"/>
    <cellStyle name="SAPBEXexcCritical6 30" xfId="45832"/>
    <cellStyle name="SAPBEXexcCritical6 31" xfId="45833"/>
    <cellStyle name="SAPBEXexcCritical6 32" xfId="45834"/>
    <cellStyle name="SAPBEXexcCritical6 33" xfId="49272"/>
    <cellStyle name="SAPBEXexcCritical6 4" xfId="45835"/>
    <cellStyle name="SAPBEXexcCritical6 4 2" xfId="49829"/>
    <cellStyle name="SAPBEXexcCritical6 4 2 2" xfId="50835"/>
    <cellStyle name="SAPBEXexcCritical6 4 2 3" xfId="50745"/>
    <cellStyle name="SAPBEXexcCritical6 4 3" xfId="50538"/>
    <cellStyle name="SAPBEXexcCritical6 4 4" xfId="51493"/>
    <cellStyle name="SAPBEXexcCritical6 4 5" xfId="49501"/>
    <cellStyle name="SAPBEXexcCritical6 5" xfId="45836"/>
    <cellStyle name="SAPBEXexcCritical6 5 2" xfId="50411"/>
    <cellStyle name="SAPBEXexcCritical6 5 3" xfId="50068"/>
    <cellStyle name="SAPBEXexcCritical6 5 4" xfId="49655"/>
    <cellStyle name="SAPBEXexcCritical6 6" xfId="45837"/>
    <cellStyle name="SAPBEXexcCritical6 6 2" xfId="51065"/>
    <cellStyle name="SAPBEXexcCritical6 6 3" xfId="51123"/>
    <cellStyle name="SAPBEXexcCritical6 6 4" xfId="50020"/>
    <cellStyle name="SAPBEXexcCritical6 7" xfId="45838"/>
    <cellStyle name="SAPBEXexcCritical6 7 2" xfId="50733"/>
    <cellStyle name="SAPBEXexcCritical6 8" xfId="45839"/>
    <cellStyle name="SAPBEXexcCritical6 8 2" xfId="51213"/>
    <cellStyle name="SAPBEXexcCritical6 9" xfId="45840"/>
    <cellStyle name="SAPBEXexcCritical6 9 2" xfId="50675"/>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2 2" xfId="50162"/>
    <cellStyle name="SAPBEXexcGood1 2 2 3" xfId="51615"/>
    <cellStyle name="SAPBEXexcGood1 2 2 4" xfId="49845"/>
    <cellStyle name="SAPBEXexcGood1 2 3" xfId="45854"/>
    <cellStyle name="SAPBEXexcGood1 2 3 2" xfId="50522"/>
    <cellStyle name="SAPBEXexcGood1 2 4" xfId="51496"/>
    <cellStyle name="SAPBEXexcGood1 2 5" xfId="49517"/>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 2" xfId="49771"/>
    <cellStyle name="SAPBEXexcGood1 3 2 2" xfId="50226"/>
    <cellStyle name="SAPBEXexcGood1 3 2 3" xfId="51527"/>
    <cellStyle name="SAPBEXexcGood1 3 3" xfId="50595"/>
    <cellStyle name="SAPBEXexcGood1 3 4" xfId="51486"/>
    <cellStyle name="SAPBEXexcGood1 3 5" xfId="49443"/>
    <cellStyle name="SAPBEXexcGood1 30" xfId="45866"/>
    <cellStyle name="SAPBEXexcGood1 31" xfId="45867"/>
    <cellStyle name="SAPBEXexcGood1 32" xfId="45868"/>
    <cellStyle name="SAPBEXexcGood1 33" xfId="49273"/>
    <cellStyle name="SAPBEXexcGood1 4" xfId="45869"/>
    <cellStyle name="SAPBEXexcGood1 4 2" xfId="49926"/>
    <cellStyle name="SAPBEXexcGood1 4 2 2" xfId="50825"/>
    <cellStyle name="SAPBEXexcGood1 4 2 3" xfId="51148"/>
    <cellStyle name="SAPBEXexcGood1 4 3" xfId="50441"/>
    <cellStyle name="SAPBEXexcGood1 4 4" xfId="51358"/>
    <cellStyle name="SAPBEXexcGood1 4 5" xfId="49598"/>
    <cellStyle name="SAPBEXexcGood1 5" xfId="45870"/>
    <cellStyle name="SAPBEXexcGood1 5 2" xfId="50410"/>
    <cellStyle name="SAPBEXexcGood1 5 3" xfId="50912"/>
    <cellStyle name="SAPBEXexcGood1 5 4" xfId="49656"/>
    <cellStyle name="SAPBEXexcGood1 6" xfId="45871"/>
    <cellStyle name="SAPBEXexcGood1 6 2" xfId="51064"/>
    <cellStyle name="SAPBEXexcGood1 6 3" xfId="51122"/>
    <cellStyle name="SAPBEXexcGood1 6 4" xfId="50019"/>
    <cellStyle name="SAPBEXexcGood1 7" xfId="45872"/>
    <cellStyle name="SAPBEXexcGood1 7 2" xfId="50732"/>
    <cellStyle name="SAPBEXexcGood1 8" xfId="45873"/>
    <cellStyle name="SAPBEXexcGood1 8 2" xfId="51470"/>
    <cellStyle name="SAPBEXexcGood1 9" xfId="45874"/>
    <cellStyle name="SAPBEXexcGood1 9 2" xfId="51681"/>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2 2" xfId="50161"/>
    <cellStyle name="SAPBEXexcGood2 2 2 3" xfId="50645"/>
    <cellStyle name="SAPBEXexcGood2 2 2 4" xfId="49846"/>
    <cellStyle name="SAPBEXexcGood2 2 3" xfId="45888"/>
    <cellStyle name="SAPBEXexcGood2 2 3 2" xfId="50521"/>
    <cellStyle name="SAPBEXexcGood2 2 4" xfId="51191"/>
    <cellStyle name="SAPBEXexcGood2 2 5" xfId="4951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 2" xfId="49770"/>
    <cellStyle name="SAPBEXexcGood2 3 2 2" xfId="50227"/>
    <cellStyle name="SAPBEXexcGood2 3 2 3" xfId="51269"/>
    <cellStyle name="SAPBEXexcGood2 3 3" xfId="50596"/>
    <cellStyle name="SAPBEXexcGood2 3 4" xfId="51229"/>
    <cellStyle name="SAPBEXexcGood2 3 5" xfId="49442"/>
    <cellStyle name="SAPBEXexcGood2 30" xfId="45900"/>
    <cellStyle name="SAPBEXexcGood2 31" xfId="45901"/>
    <cellStyle name="SAPBEXexcGood2 32" xfId="45902"/>
    <cellStyle name="SAPBEXexcGood2 33" xfId="49274"/>
    <cellStyle name="SAPBEXexcGood2 4" xfId="45903"/>
    <cellStyle name="SAPBEXexcGood2 4 2" xfId="49830"/>
    <cellStyle name="SAPBEXexcGood2 4 2 2" xfId="50837"/>
    <cellStyle name="SAPBEXexcGood2 4 2 3" xfId="51658"/>
    <cellStyle name="SAPBEXexcGood2 4 3" xfId="50537"/>
    <cellStyle name="SAPBEXexcGood2 4 4" xfId="51194"/>
    <cellStyle name="SAPBEXexcGood2 4 5" xfId="49502"/>
    <cellStyle name="SAPBEXexcGood2 5" xfId="45904"/>
    <cellStyle name="SAPBEXexcGood2 5 2" xfId="50409"/>
    <cellStyle name="SAPBEXexcGood2 5 3" xfId="51255"/>
    <cellStyle name="SAPBEXexcGood2 5 4" xfId="49657"/>
    <cellStyle name="SAPBEXexcGood2 6" xfId="45905"/>
    <cellStyle name="SAPBEXexcGood2 6 2" xfId="51063"/>
    <cellStyle name="SAPBEXexcGood2 6 3" xfId="51602"/>
    <cellStyle name="SAPBEXexcGood2 6 4" xfId="50018"/>
    <cellStyle name="SAPBEXexcGood2 7" xfId="45906"/>
    <cellStyle name="SAPBEXexcGood2 7 2" xfId="50731"/>
    <cellStyle name="SAPBEXexcGood2 8" xfId="45907"/>
    <cellStyle name="SAPBEXexcGood2 8 2" xfId="51339"/>
    <cellStyle name="SAPBEXexcGood2 9" xfId="45908"/>
    <cellStyle name="SAPBEXexcGood2 9 2" xfId="50744"/>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2 2" xfId="50160"/>
    <cellStyle name="SAPBEXexcGood3 2 2 3" xfId="51309"/>
    <cellStyle name="SAPBEXexcGood3 2 2 4" xfId="49847"/>
    <cellStyle name="SAPBEXexcGood3 2 3" xfId="45922"/>
    <cellStyle name="SAPBEXexcGood3 2 3 2" xfId="50520"/>
    <cellStyle name="SAPBEXexcGood3 2 4" xfId="51449"/>
    <cellStyle name="SAPBEXexcGood3 2 5" xfId="49519"/>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 2" xfId="49769"/>
    <cellStyle name="SAPBEXexcGood3 3 2 2" xfId="50228"/>
    <cellStyle name="SAPBEXexcGood3 3 2 3" xfId="50815"/>
    <cellStyle name="SAPBEXexcGood3 3 3" xfId="50597"/>
    <cellStyle name="SAPBEXexcGood3 3 4" xfId="50909"/>
    <cellStyle name="SAPBEXexcGood3 3 5" xfId="49441"/>
    <cellStyle name="SAPBEXexcGood3 30" xfId="45934"/>
    <cellStyle name="SAPBEXexcGood3 31" xfId="45935"/>
    <cellStyle name="SAPBEXexcGood3 32" xfId="45936"/>
    <cellStyle name="SAPBEXexcGood3 33" xfId="49275"/>
    <cellStyle name="SAPBEXexcGood3 4" xfId="45937"/>
    <cellStyle name="SAPBEXexcGood3 4 2" xfId="49831"/>
    <cellStyle name="SAPBEXexcGood3 4 2 2" xfId="50834"/>
    <cellStyle name="SAPBEXexcGood3 4 2 3" xfId="50659"/>
    <cellStyle name="SAPBEXexcGood3 4 3" xfId="50536"/>
    <cellStyle name="SAPBEXexcGood3 4 4" xfId="51452"/>
    <cellStyle name="SAPBEXexcGood3 4 5" xfId="49503"/>
    <cellStyle name="SAPBEXexcGood3 5" xfId="45938"/>
    <cellStyle name="SAPBEXexcGood3 5 2" xfId="50408"/>
    <cellStyle name="SAPBEXexcGood3 5 3" xfId="51512"/>
    <cellStyle name="SAPBEXexcGood3 5 4" xfId="49658"/>
    <cellStyle name="SAPBEXexcGood3 6" xfId="45939"/>
    <cellStyle name="SAPBEXexcGood3 6 2" xfId="51062"/>
    <cellStyle name="SAPBEXexcGood3 6 3" xfId="51413"/>
    <cellStyle name="SAPBEXexcGood3 6 4" xfId="50017"/>
    <cellStyle name="SAPBEXexcGood3 7" xfId="45940"/>
    <cellStyle name="SAPBEXexcGood3 7 2" xfId="50730"/>
    <cellStyle name="SAPBEXexcGood3 8" xfId="45941"/>
    <cellStyle name="SAPBEXexcGood3 8 2" xfId="51657"/>
    <cellStyle name="SAPBEXexcGood3 9" xfId="45942"/>
    <cellStyle name="SAPBEXexcGood3 9 2" xfId="50921"/>
    <cellStyle name="SAPBEXexcGood3_SGN 10a Business Plan 2010v14 used for CF model v2" xfId="45943"/>
    <cellStyle name="SAPBEXfilterDrill" xfId="47"/>
    <cellStyle name="SAPBEXfilterDrill 2" xfId="45944"/>
    <cellStyle name="SAPBEXfilterDrill 2 2" xfId="49848"/>
    <cellStyle name="SAPBEXfilterDrill 2 2 2" xfId="50159"/>
    <cellStyle name="SAPBEXfilterDrill 2 2 3" xfId="51566"/>
    <cellStyle name="SAPBEXfilterDrill 2 3" xfId="50519"/>
    <cellStyle name="SAPBEXfilterDrill 2 4" xfId="51357"/>
    <cellStyle name="SAPBEXfilterDrill 2 5" xfId="49520"/>
    <cellStyle name="SAPBEXfilterDrill 3" xfId="49440"/>
    <cellStyle name="SAPBEXfilterDrill 3 2" xfId="49768"/>
    <cellStyle name="SAPBEXfilterDrill 3 2 2" xfId="50229"/>
    <cellStyle name="SAPBEXfilterDrill 3 2 3" xfId="51618"/>
    <cellStyle name="SAPBEXfilterDrill 3 3" xfId="50598"/>
    <cellStyle name="SAPBEXfilterDrill 3 4" xfId="51651"/>
    <cellStyle name="SAPBEXfilterDrill 4" xfId="49659"/>
    <cellStyle name="SAPBEXfilterDrill 4 2" xfId="50407"/>
    <cellStyle name="SAPBEXfilterDrill 4 3" xfId="51175"/>
    <cellStyle name="SAPBEXfilterDrill 5" xfId="50016"/>
    <cellStyle name="SAPBEXfilterDrill 5 2" xfId="51061"/>
    <cellStyle name="SAPBEXfilterDrill 5 3" xfId="51590"/>
    <cellStyle name="SAPBEXfilterDrill 6" xfId="50729"/>
    <cellStyle name="SAPBEXfilterDrill 7" xfId="51214"/>
    <cellStyle name="SAPBEXfilterDrill 8" xfId="49276"/>
    <cellStyle name="SAPBEXfilterDrill_SGN 10a Business Plan 2010v14 used for CF model v2" xfId="45945"/>
    <cellStyle name="SAPBEXfilterItem" xfId="48"/>
    <cellStyle name="SAPBEXfilterItem 2" xfId="45946"/>
    <cellStyle name="SAPBEXfilterItem 2 2" xfId="49849"/>
    <cellStyle name="SAPBEXfilterItem 2 2 2" xfId="50158"/>
    <cellStyle name="SAPBEXfilterItem 2 2 3" xfId="51396"/>
    <cellStyle name="SAPBEXfilterItem 2 3" xfId="50518"/>
    <cellStyle name="SAPBEXfilterItem 2 4" xfId="51641"/>
    <cellStyle name="SAPBEXfilterItem 2 5" xfId="49521"/>
    <cellStyle name="SAPBEXfilterItem 3" xfId="49439"/>
    <cellStyle name="SAPBEXfilterItem 3 2" xfId="49767"/>
    <cellStyle name="SAPBEXfilterItem 3 2 2" xfId="50230"/>
    <cellStyle name="SAPBEXfilterItem 3 2 3" xfId="51387"/>
    <cellStyle name="SAPBEXfilterItem 3 3" xfId="50599"/>
    <cellStyle name="SAPBEXfilterItem 3 4" xfId="51346"/>
    <cellStyle name="SAPBEXfilterItem 4" xfId="49660"/>
    <cellStyle name="SAPBEXfilterItem 4 2" xfId="50406"/>
    <cellStyle name="SAPBEXfilterItem 4 3" xfId="51434"/>
    <cellStyle name="SAPBEXfilterItem 5" xfId="50015"/>
    <cellStyle name="SAPBEXfilterItem 5 2" xfId="51060"/>
    <cellStyle name="SAPBEXfilterItem 5 3" xfId="51335"/>
    <cellStyle name="SAPBEXfilterItem 6" xfId="50728"/>
    <cellStyle name="SAPBEXfilterItem 7" xfId="51471"/>
    <cellStyle name="SAPBEXfilterItem 8" xfId="49277"/>
    <cellStyle name="SAPBEXfilterItem_SGN 10a Business Plan 2010v14 used for CF model v2" xfId="45947"/>
    <cellStyle name="SAPBEXfilterText" xfId="49"/>
    <cellStyle name="SAPBEXfilterText 2" xfId="45948"/>
    <cellStyle name="SAPBEXfilterText 2 2" xfId="49850"/>
    <cellStyle name="SAPBEXfilterText 2 2 2" xfId="50157"/>
    <cellStyle name="SAPBEXfilterText 2 2 3" xfId="51614"/>
    <cellStyle name="SAPBEXfilterText 2 3" xfId="50517"/>
    <cellStyle name="SAPBEXfilterText 2 4" xfId="51238"/>
    <cellStyle name="SAPBEXfilterText 2 5" xfId="49522"/>
    <cellStyle name="SAPBEXfilterText 3" xfId="49438"/>
    <cellStyle name="SAPBEXfilterText 3 2" xfId="49766"/>
    <cellStyle name="SAPBEXfilterText 3 2 2" xfId="50231"/>
    <cellStyle name="SAPBEXfilterText 3 2 3" xfId="51423"/>
    <cellStyle name="SAPBEXfilterText 3 3" xfId="50600"/>
    <cellStyle name="SAPBEXfilterText 3 4" xfId="51476"/>
    <cellStyle name="SAPBEXfilterText 4" xfId="49661"/>
    <cellStyle name="SAPBEXfilterText 4 2" xfId="50405"/>
    <cellStyle name="SAPBEXfilterText 4 3" xfId="51373"/>
    <cellStyle name="SAPBEXfilterText 5" xfId="50014"/>
    <cellStyle name="SAPBEXfilterText 5 2" xfId="51059"/>
    <cellStyle name="SAPBEXfilterText 5 3" xfId="51583"/>
    <cellStyle name="SAPBEXfilterText 6" xfId="50727"/>
    <cellStyle name="SAPBEXfilterText 7" xfId="50979"/>
    <cellStyle name="SAPBEXfilterText 8" xfId="4927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2 2" xfId="50156"/>
    <cellStyle name="SAPBEXformats 2 2 3" xfId="50949"/>
    <cellStyle name="SAPBEXformats 2 2 4" xfId="49851"/>
    <cellStyle name="SAPBEXformats 2 3" xfId="45962"/>
    <cellStyle name="SAPBEXformats 2 3 2" xfId="50516"/>
    <cellStyle name="SAPBEXformats 2 4" xfId="51495"/>
    <cellStyle name="SAPBEXformats 2 5" xfId="49523"/>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 2" xfId="49765"/>
    <cellStyle name="SAPBEXformats 3 2 2" xfId="50232"/>
    <cellStyle name="SAPBEXformats 3 2 3" xfId="51163"/>
    <cellStyle name="SAPBEXformats 3 3" xfId="50601"/>
    <cellStyle name="SAPBEXformats 3 4" xfId="51220"/>
    <cellStyle name="SAPBEXformats 3 5" xfId="49437"/>
    <cellStyle name="SAPBEXformats 30" xfId="45974"/>
    <cellStyle name="SAPBEXformats 31" xfId="45975"/>
    <cellStyle name="SAPBEXformats 32" xfId="45976"/>
    <cellStyle name="SAPBEXformats 33" xfId="49279"/>
    <cellStyle name="SAPBEXformats 4" xfId="45977"/>
    <cellStyle name="SAPBEXformats 4 2" xfId="49832"/>
    <cellStyle name="SAPBEXformats 4 2 2" xfId="50847"/>
    <cellStyle name="SAPBEXformats 4 2 3" xfId="50776"/>
    <cellStyle name="SAPBEXformats 4 3" xfId="50535"/>
    <cellStyle name="SAPBEXformats 4 4" xfId="51354"/>
    <cellStyle name="SAPBEXformats 4 5" xfId="49504"/>
    <cellStyle name="SAPBEXformats 5" xfId="45978"/>
    <cellStyle name="SAPBEXformats 5 2" xfId="50404"/>
    <cellStyle name="SAPBEXformats 5 3" xfId="51628"/>
    <cellStyle name="SAPBEXformats 5 4" xfId="49662"/>
    <cellStyle name="SAPBEXformats 6" xfId="45979"/>
    <cellStyle name="SAPBEXformats 6 2" xfId="51058"/>
    <cellStyle name="SAPBEXformats 6 3" xfId="51326"/>
    <cellStyle name="SAPBEXformats 6 4" xfId="50013"/>
    <cellStyle name="SAPBEXformats 7" xfId="45980"/>
    <cellStyle name="SAPBEXformats 7 2" xfId="50726"/>
    <cellStyle name="SAPBEXformats 8" xfId="45981"/>
    <cellStyle name="SAPBEXformats 8 2" xfId="51216"/>
    <cellStyle name="SAPBEXformats 9" xfId="45982"/>
    <cellStyle name="SAPBEXformats 9 2" xfId="50779"/>
    <cellStyle name="SAPBEXformats_SGN 10a Business Plan 2010v14 used for CF model v2" xfId="45983"/>
    <cellStyle name="SAPBEXheaderItem" xfId="51"/>
    <cellStyle name="SAPBEXheaderItem 2" xfId="45984"/>
    <cellStyle name="SAPBEXheaderItem 3" xfId="49524"/>
    <cellStyle name="SAPBEXheaderItem 3 2" xfId="49852"/>
    <cellStyle name="SAPBEXheaderItem 3 2 2" xfId="50155"/>
    <cellStyle name="SAPBEXheaderItem 3 2 3" xfId="51278"/>
    <cellStyle name="SAPBEXheaderItem 3 3" xfId="50515"/>
    <cellStyle name="SAPBEXheaderItem 3 4" xfId="51192"/>
    <cellStyle name="SAPBEXheaderItem 4" xfId="49436"/>
    <cellStyle name="SAPBEXheaderItem 4 2" xfId="49764"/>
    <cellStyle name="SAPBEXheaderItem 4 2 2" xfId="50233"/>
    <cellStyle name="SAPBEXheaderItem 4 2 3" xfId="51526"/>
    <cellStyle name="SAPBEXheaderItem 4 3" xfId="50602"/>
    <cellStyle name="SAPBEXheaderItem 4 4" xfId="51460"/>
    <cellStyle name="SAPBEXheaderItem 5" xfId="49663"/>
    <cellStyle name="SAPBEXheaderItem 5 2" xfId="50403"/>
    <cellStyle name="SAPBEXheaderItem 5 3" xfId="50974"/>
    <cellStyle name="SAPBEXheaderItem 6" xfId="50012"/>
    <cellStyle name="SAPBEXheaderItem 6 2" xfId="51057"/>
    <cellStyle name="SAPBEXheaderItem 6 3" xfId="51553"/>
    <cellStyle name="SAPBEXheaderItem 7" xfId="50725"/>
    <cellStyle name="SAPBEXheaderItem 8" xfId="51473"/>
    <cellStyle name="SAPBEXheaderItem 9" xfId="49280"/>
    <cellStyle name="SAPBEXheaderItem_0910 GSO Capex RRP - Final (Detail) v2 220710" xfId="45985"/>
    <cellStyle name="SAPBEXheaderText" xfId="52"/>
    <cellStyle name="SAPBEXheaderText 2" xfId="45986"/>
    <cellStyle name="SAPBEXheaderText 3" xfId="49525"/>
    <cellStyle name="SAPBEXheaderText 3 2" xfId="49853"/>
    <cellStyle name="SAPBEXheaderText 3 2 2" xfId="50067"/>
    <cellStyle name="SAPBEXheaderText 3 2 3" xfId="51536"/>
    <cellStyle name="SAPBEXheaderText 3 3" xfId="50514"/>
    <cellStyle name="SAPBEXheaderText 3 4" xfId="51450"/>
    <cellStyle name="SAPBEXheaderText 4" xfId="49435"/>
    <cellStyle name="SAPBEXheaderText 4 2" xfId="49763"/>
    <cellStyle name="SAPBEXheaderText 4 2 2" xfId="50234"/>
    <cellStyle name="SAPBEXheaderText 4 2 3" xfId="51268"/>
    <cellStyle name="SAPBEXheaderText 4 3" xfId="50603"/>
    <cellStyle name="SAPBEXheaderText 4 4" xfId="51202"/>
    <cellStyle name="SAPBEXheaderText 5" xfId="49664"/>
    <cellStyle name="SAPBEXheaderText 5 2" xfId="50402"/>
    <cellStyle name="SAPBEXheaderText 5 3" xfId="51256"/>
    <cellStyle name="SAPBEXheaderText 6" xfId="50011"/>
    <cellStyle name="SAPBEXheaderText 6 2" xfId="51056"/>
    <cellStyle name="SAPBEXheaderText 6 3" xfId="51295"/>
    <cellStyle name="SAPBEXheaderText 7" xfId="50724"/>
    <cellStyle name="SAPBEXheaderText 8" xfId="51340"/>
    <cellStyle name="SAPBEXheaderText 9" xfId="49281"/>
    <cellStyle name="SAPBEXheaderText_0910 GSO Capex RRP - Final (Detail) v2 220710" xfId="45987"/>
    <cellStyle name="SAPBEXHLevel0" xfId="53"/>
    <cellStyle name="SAPBEXHLevel0 10" xfId="45988"/>
    <cellStyle name="SAPBEXHLevel0 10 2" xfId="50771"/>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2 2" xfId="50154"/>
    <cellStyle name="SAPBEXHLevel0 2 2 2 3" xfId="51567"/>
    <cellStyle name="SAPBEXHLevel0 2 2 2 4" xfId="49855"/>
    <cellStyle name="SAPBEXHLevel0 2 2 3" xfId="46011"/>
    <cellStyle name="SAPBEXHLevel0 2 2 3 2" xfId="50512"/>
    <cellStyle name="SAPBEXHLevel0 2 2 4" xfId="51480"/>
    <cellStyle name="SAPBEXHLevel0 2 2 5" xfId="49527"/>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 2 2" xfId="50236"/>
    <cellStyle name="SAPBEXHLevel0 2 3 2 3" xfId="51619"/>
    <cellStyle name="SAPBEXHLevel0 2 3 2 4" xfId="49761"/>
    <cellStyle name="SAPBEXHLevel0 2 3 3" xfId="50605"/>
    <cellStyle name="SAPBEXHLevel0 2 3 4" xfId="51228"/>
    <cellStyle name="SAPBEXHLevel0 2 3 5" xfId="49433"/>
    <cellStyle name="SAPBEXHLevel0 2 30" xfId="46024"/>
    <cellStyle name="SAPBEXHLevel0 2 31" xfId="46025"/>
    <cellStyle name="SAPBEXHLevel0 2 32" xfId="46026"/>
    <cellStyle name="SAPBEXHLevel0 2 33" xfId="49283"/>
    <cellStyle name="SAPBEXHLevel0 2 4" xfId="46027"/>
    <cellStyle name="SAPBEXHLevel0 2 4 2" xfId="46028"/>
    <cellStyle name="SAPBEXHLevel0 2 4 2 2" xfId="50400"/>
    <cellStyle name="SAPBEXHLevel0 2 4 3" xfId="51302"/>
    <cellStyle name="SAPBEXHLevel0 2 4 4" xfId="49666"/>
    <cellStyle name="SAPBEXHLevel0 2 5" xfId="46029"/>
    <cellStyle name="SAPBEXHLevel0 2 5 2" xfId="46030"/>
    <cellStyle name="SAPBEXHLevel0 2 5 2 2" xfId="51054"/>
    <cellStyle name="SAPBEXHLevel0 2 5 3" xfId="51120"/>
    <cellStyle name="SAPBEXHLevel0 2 5 4" xfId="50009"/>
    <cellStyle name="SAPBEXHLevel0 2 6" xfId="46031"/>
    <cellStyle name="SAPBEXHLevel0 2 6 2" xfId="46032"/>
    <cellStyle name="SAPBEXHLevel0 2 6 3" xfId="50722"/>
    <cellStyle name="SAPBEXHLevel0 2 7" xfId="46033"/>
    <cellStyle name="SAPBEXHLevel0 2 7 2" xfId="46034"/>
    <cellStyle name="SAPBEXHLevel0 2 7 3" xfId="5147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2 2" xfId="50069"/>
    <cellStyle name="SAPBEXHLevel0 3 2 3" xfId="51310"/>
    <cellStyle name="SAPBEXHLevel0 3 2 4" xfId="49854"/>
    <cellStyle name="SAPBEXHLevel0 3 3" xfId="46050"/>
    <cellStyle name="SAPBEXHLevel0 3 3 2" xfId="50513"/>
    <cellStyle name="SAPBEXHLevel0 3 4" xfId="51224"/>
    <cellStyle name="SAPBEXHLevel0 3 5" xfId="49526"/>
    <cellStyle name="SAPBEXHLevel0 30" xfId="46051"/>
    <cellStyle name="SAPBEXHLevel0 31" xfId="46052"/>
    <cellStyle name="SAPBEXHLevel0 32" xfId="46053"/>
    <cellStyle name="SAPBEXHLevel0 33" xfId="46054"/>
    <cellStyle name="SAPBEXHLevel0 34" xfId="49282"/>
    <cellStyle name="SAPBEXHLevel0 4" xfId="46055"/>
    <cellStyle name="SAPBEXHLevel0 4 2" xfId="46056"/>
    <cellStyle name="SAPBEXHLevel0 4 2 2" xfId="50235"/>
    <cellStyle name="SAPBEXHLevel0 4 2 3" xfId="50814"/>
    <cellStyle name="SAPBEXHLevel0 4 2 4" xfId="49762"/>
    <cellStyle name="SAPBEXHLevel0 4 3" xfId="50604"/>
    <cellStyle name="SAPBEXHLevel0 4 4" xfId="51485"/>
    <cellStyle name="SAPBEXHLevel0 4 5" xfId="49434"/>
    <cellStyle name="SAPBEXHLevel0 5" xfId="46057"/>
    <cellStyle name="SAPBEXHLevel0 5 2" xfId="46058"/>
    <cellStyle name="SAPBEXHLevel0 5 2 2" xfId="50833"/>
    <cellStyle name="SAPBEXHLevel0 5 2 3" xfId="50747"/>
    <cellStyle name="SAPBEXHLevel0 5 2 4" xfId="49833"/>
    <cellStyle name="SAPBEXHLevel0 5 3" xfId="50534"/>
    <cellStyle name="SAPBEXHLevel0 5 4" xfId="51644"/>
    <cellStyle name="SAPBEXHLevel0 5 5" xfId="49505"/>
    <cellStyle name="SAPBEXHLevel0 6" xfId="46059"/>
    <cellStyle name="SAPBEXHLevel0 6 2" xfId="46060"/>
    <cellStyle name="SAPBEXHLevel0 6 2 2" xfId="50401"/>
    <cellStyle name="SAPBEXHLevel0 6 3" xfId="51513"/>
    <cellStyle name="SAPBEXHLevel0 6 4" xfId="49665"/>
    <cellStyle name="SAPBEXHLevel0 7" xfId="46061"/>
    <cellStyle name="SAPBEXHLevel0 7 2" xfId="46062"/>
    <cellStyle name="SAPBEXHLevel0 7 2 2" xfId="51055"/>
    <cellStyle name="SAPBEXHLevel0 7 3" xfId="51121"/>
    <cellStyle name="SAPBEXHLevel0 7 4" xfId="50010"/>
    <cellStyle name="SAPBEXHLevel0 8" xfId="46063"/>
    <cellStyle name="SAPBEXHLevel0 8 2" xfId="46064"/>
    <cellStyle name="SAPBEXHLevel0 8 3" xfId="50723"/>
    <cellStyle name="SAPBEXHLevel0 9" xfId="46065"/>
    <cellStyle name="SAPBEXHLevel0 9 2" xfId="46066"/>
    <cellStyle name="SAPBEXHLevel0 9 3" xfId="51217"/>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2 2" xfId="50152"/>
    <cellStyle name="SAPBEXHLevel0X 2 2 2 3" xfId="51613"/>
    <cellStyle name="SAPBEXHLevel0X 2 2 2 4" xfId="49857"/>
    <cellStyle name="SAPBEXHLevel0X 2 2 3" xfId="46091"/>
    <cellStyle name="SAPBEXHLevel0X 2 2 3 2" xfId="50510"/>
    <cellStyle name="SAPBEXHLevel0X 2 2 4" xfId="51642"/>
    <cellStyle name="SAPBEXHLevel0X 2 2 5" xfId="49529"/>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 2 2" xfId="50238"/>
    <cellStyle name="SAPBEXHLevel0X 2 3 2 3" xfId="51424"/>
    <cellStyle name="SAPBEXHLevel0X 2 3 2 4" xfId="49759"/>
    <cellStyle name="SAPBEXHLevel0X 2 3 3" xfId="50607"/>
    <cellStyle name="SAPBEXHLevel0X 2 3 4" xfId="51652"/>
    <cellStyle name="SAPBEXHLevel0X 2 3 5" xfId="49431"/>
    <cellStyle name="SAPBEXHLevel0X 2 30" xfId="46104"/>
    <cellStyle name="SAPBEXHLevel0X 2 31" xfId="46105"/>
    <cellStyle name="SAPBEXHLevel0X 2 32" xfId="46106"/>
    <cellStyle name="SAPBEXHLevel0X 2 33" xfId="49285"/>
    <cellStyle name="SAPBEXHLevel0X 2 4" xfId="46107"/>
    <cellStyle name="SAPBEXHLevel0X 2 4 2" xfId="46108"/>
    <cellStyle name="SAPBEXHLevel0X 2 4 2 2" xfId="50398"/>
    <cellStyle name="SAPBEXHLevel0X 2 4 3" xfId="51374"/>
    <cellStyle name="SAPBEXHLevel0X 2 4 4" xfId="49668"/>
    <cellStyle name="SAPBEXHLevel0X 2 5" xfId="46109"/>
    <cellStyle name="SAPBEXHLevel0X 2 5 2" xfId="46110"/>
    <cellStyle name="SAPBEXHLevel0X 2 5 2 2" xfId="51052"/>
    <cellStyle name="SAPBEXHLevel0X 2 5 3" xfId="51412"/>
    <cellStyle name="SAPBEXHLevel0X 2 5 4" xfId="50007"/>
    <cellStyle name="SAPBEXHLevel0X 2 6" xfId="46111"/>
    <cellStyle name="SAPBEXHLevel0X 2 6 2" xfId="46112"/>
    <cellStyle name="SAPBEXHLevel0X 2 6 3" xfId="50720"/>
    <cellStyle name="SAPBEXHLevel0X 2 7" xfId="46113"/>
    <cellStyle name="SAPBEXHLevel0X 2 7 2" xfId="46114"/>
    <cellStyle name="SAPBEXHLevel0X 2 7 3" xfId="51341"/>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10" xfId="49430"/>
    <cellStyle name="SAPBEXHLevel0X 3 10 2" xfId="49758"/>
    <cellStyle name="SAPBEXHLevel0X 3 10 2 2" xfId="50239"/>
    <cellStyle name="SAPBEXHLevel0X 3 10 2 3" xfId="51164"/>
    <cellStyle name="SAPBEXHLevel0X 3 10 3" xfId="50608"/>
    <cellStyle name="SAPBEXHLevel0X 3 10 4" xfId="51345"/>
    <cellStyle name="SAPBEXHLevel0X 3 11" xfId="49669"/>
    <cellStyle name="SAPBEXHLevel0X 3 11 2" xfId="50397"/>
    <cellStyle name="SAPBEXHLevel0X 3 11 3" xfId="51627"/>
    <cellStyle name="SAPBEXHLevel0X 3 12" xfId="50006"/>
    <cellStyle name="SAPBEXHLevel0X 3 12 2" xfId="51051"/>
    <cellStyle name="SAPBEXHLevel0X 3 12 3" xfId="51582"/>
    <cellStyle name="SAPBEXHLevel0X 3 13" xfId="50719"/>
    <cellStyle name="SAPBEXHLevel0X 3 14" xfId="51656"/>
    <cellStyle name="SAPBEXHLevel0X 3 15" xfId="49286"/>
    <cellStyle name="SAPBEXHLevel0X 3 2" xfId="46129"/>
    <cellStyle name="SAPBEXHLevel0X 3 2 2" xfId="49531"/>
    <cellStyle name="SAPBEXHLevel0X 3 2 2 2" xfId="49859"/>
    <cellStyle name="SAPBEXHLevel0X 3 2 2 2 2" xfId="50150"/>
    <cellStyle name="SAPBEXHLevel0X 3 2 2 2 3" xfId="51279"/>
    <cellStyle name="SAPBEXHLevel0X 3 2 2 3" xfId="50508"/>
    <cellStyle name="SAPBEXHLevel0X 3 2 2 4" xfId="50976"/>
    <cellStyle name="SAPBEXHLevel0X 3 2 3" xfId="49429"/>
    <cellStyle name="SAPBEXHLevel0X 3 2 3 2" xfId="49757"/>
    <cellStyle name="SAPBEXHLevel0X 3 2 3 2 2" xfId="50240"/>
    <cellStyle name="SAPBEXHLevel0X 3 2 3 2 3" xfId="51525"/>
    <cellStyle name="SAPBEXHLevel0X 3 2 3 3" xfId="50609"/>
    <cellStyle name="SAPBEXHLevel0X 3 2 3 4" xfId="51561"/>
    <cellStyle name="SAPBEXHLevel0X 3 2 4" xfId="49670"/>
    <cellStyle name="SAPBEXHLevel0X 3 2 4 2" xfId="50396"/>
    <cellStyle name="SAPBEXHLevel0X 3 2 4 3" xfId="50809"/>
    <cellStyle name="SAPBEXHLevel0X 3 2 5" xfId="50005"/>
    <cellStyle name="SAPBEXHLevel0X 3 2 5 2" xfId="51050"/>
    <cellStyle name="SAPBEXHLevel0X 3 2 5 3" xfId="51325"/>
    <cellStyle name="SAPBEXHLevel0X 3 2 6" xfId="50718"/>
    <cellStyle name="SAPBEXHLevel0X 3 2 7" xfId="50654"/>
    <cellStyle name="SAPBEXHLevel0X 3 2 8" xfId="49287"/>
    <cellStyle name="SAPBEXHLevel0X 3 3" xfId="46130"/>
    <cellStyle name="SAPBEXHLevel0X 3 3 2" xfId="49532"/>
    <cellStyle name="SAPBEXHLevel0X 3 3 2 2" xfId="49860"/>
    <cellStyle name="SAPBEXHLevel0X 3 3 2 2 2" xfId="50149"/>
    <cellStyle name="SAPBEXHLevel0X 3 3 2 2 3" xfId="51537"/>
    <cellStyle name="SAPBEXHLevel0X 3 3 2 3" xfId="50507"/>
    <cellStyle name="SAPBEXHLevel0X 3 3 2 4" xfId="51241"/>
    <cellStyle name="SAPBEXHLevel0X 3 3 3" xfId="49428"/>
    <cellStyle name="SAPBEXHLevel0X 3 3 3 2" xfId="49756"/>
    <cellStyle name="SAPBEXHLevel0X 3 3 3 2 2" xfId="50241"/>
    <cellStyle name="SAPBEXHLevel0X 3 3 3 2 3" xfId="51267"/>
    <cellStyle name="SAPBEXHLevel0X 3 3 3 3" xfId="50610"/>
    <cellStyle name="SAPBEXHLevel0X 3 3 3 4" xfId="51304"/>
    <cellStyle name="SAPBEXHLevel0X 3 3 4" xfId="49671"/>
    <cellStyle name="SAPBEXHLevel0X 3 3 4 2" xfId="50395"/>
    <cellStyle name="SAPBEXHLevel0X 3 3 4 3" xfId="51257"/>
    <cellStyle name="SAPBEXHLevel0X 3 3 5" xfId="50004"/>
    <cellStyle name="SAPBEXHLevel0X 3 3 5 2" xfId="51049"/>
    <cellStyle name="SAPBEXHLevel0X 3 3 5 3" xfId="51552"/>
    <cellStyle name="SAPBEXHLevel0X 3 3 6" xfId="50717"/>
    <cellStyle name="SAPBEXHLevel0X 3 3 7" xfId="50869"/>
    <cellStyle name="SAPBEXHLevel0X 3 3 8" xfId="49288"/>
    <cellStyle name="SAPBEXHLevel0X 3 4" xfId="49289"/>
    <cellStyle name="SAPBEXHLevel0X 3 4 2" xfId="49533"/>
    <cellStyle name="SAPBEXHLevel0X 3 4 2 2" xfId="49861"/>
    <cellStyle name="SAPBEXHLevel0X 3 4 2 2 2" xfId="50148"/>
    <cellStyle name="SAPBEXHLevel0X 3 4 2 2 3" xfId="51311"/>
    <cellStyle name="SAPBEXHLevel0X 3 4 2 3" xfId="50506"/>
    <cellStyle name="SAPBEXHLevel0X 3 4 2 4" xfId="51498"/>
    <cellStyle name="SAPBEXHLevel0X 3 4 3" xfId="49427"/>
    <cellStyle name="SAPBEXHLevel0X 3 4 3 2" xfId="49755"/>
    <cellStyle name="SAPBEXHLevel0X 3 4 3 2 2" xfId="50242"/>
    <cellStyle name="SAPBEXHLevel0X 3 4 3 2 3" xfId="50644"/>
    <cellStyle name="SAPBEXHLevel0X 3 4 3 3" xfId="50611"/>
    <cellStyle name="SAPBEXHLevel0X 3 4 3 4" xfId="51461"/>
    <cellStyle name="SAPBEXHLevel0X 3 4 4" xfId="49672"/>
    <cellStyle name="SAPBEXHLevel0X 3 4 4 2" xfId="50059"/>
    <cellStyle name="SAPBEXHLevel0X 3 4 4 3" xfId="51514"/>
    <cellStyle name="SAPBEXHLevel0X 3 4 5" xfId="50003"/>
    <cellStyle name="SAPBEXHLevel0X 3 4 5 2" xfId="51048"/>
    <cellStyle name="SAPBEXHLevel0X 3 4 5 3" xfId="51294"/>
    <cellStyle name="SAPBEXHLevel0X 3 4 6" xfId="50716"/>
    <cellStyle name="SAPBEXHLevel0X 3 4 7" xfId="50943"/>
    <cellStyle name="SAPBEXHLevel0X 3 5" xfId="49290"/>
    <cellStyle name="SAPBEXHLevel0X 3 5 2" xfId="49534"/>
    <cellStyle name="SAPBEXHLevel0X 3 5 2 2" xfId="49862"/>
    <cellStyle name="SAPBEXHLevel0X 3 5 2 2 2" xfId="50147"/>
    <cellStyle name="SAPBEXHLevel0X 3 5 2 2 3" xfId="51568"/>
    <cellStyle name="SAPBEXHLevel0X 3 5 2 3" xfId="50505"/>
    <cellStyle name="SAPBEXHLevel0X 3 5 2 4" xfId="51189"/>
    <cellStyle name="SAPBEXHLevel0X 3 5 3" xfId="49426"/>
    <cellStyle name="SAPBEXHLevel0X 3 5 3 2" xfId="49754"/>
    <cellStyle name="SAPBEXHLevel0X 3 5 3 2 2" xfId="50243"/>
    <cellStyle name="SAPBEXHLevel0X 3 5 3 2 3" xfId="51659"/>
    <cellStyle name="SAPBEXHLevel0X 3 5 3 3" xfId="50612"/>
    <cellStyle name="SAPBEXHLevel0X 3 5 3 4" xfId="51203"/>
    <cellStyle name="SAPBEXHLevel0X 3 5 4" xfId="49673"/>
    <cellStyle name="SAPBEXHLevel0X 3 5 4 2" xfId="50371"/>
    <cellStyle name="SAPBEXHLevel0X 3 5 4 3" xfId="51174"/>
    <cellStyle name="SAPBEXHLevel0X 3 5 5" xfId="49962"/>
    <cellStyle name="SAPBEXHLevel0X 3 5 5 2" xfId="51007"/>
    <cellStyle name="SAPBEXHLevel0X 3 5 5 3" xfId="51329"/>
    <cellStyle name="SAPBEXHLevel0X 3 5 6" xfId="50715"/>
    <cellStyle name="SAPBEXHLevel0X 3 5 7" xfId="50883"/>
    <cellStyle name="SAPBEXHLevel0X 3 6" xfId="49291"/>
    <cellStyle name="SAPBEXHLevel0X 3 6 2" xfId="49535"/>
    <cellStyle name="SAPBEXHLevel0X 3 6 2 2" xfId="49863"/>
    <cellStyle name="SAPBEXHLevel0X 3 6 2 2 2" xfId="50146"/>
    <cellStyle name="SAPBEXHLevel0X 3 6 2 2 3" xfId="51398"/>
    <cellStyle name="SAPBEXHLevel0X 3 6 2 3" xfId="50504"/>
    <cellStyle name="SAPBEXHLevel0X 3 6 2 4" xfId="51447"/>
    <cellStyle name="SAPBEXHLevel0X 3 6 3" xfId="49425"/>
    <cellStyle name="SAPBEXHLevel0X 3 6 3 2" xfId="49753"/>
    <cellStyle name="SAPBEXHLevel0X 3 6 3 2 2" xfId="50244"/>
    <cellStyle name="SAPBEXHLevel0X 3 6 3 2 3" xfId="51385"/>
    <cellStyle name="SAPBEXHLevel0X 3 6 3 3" xfId="50613"/>
    <cellStyle name="SAPBEXHLevel0X 3 6 3 4" xfId="51484"/>
    <cellStyle name="SAPBEXHLevel0X 3 6 4" xfId="49674"/>
    <cellStyle name="SAPBEXHLevel0X 3 6 4 2" xfId="50345"/>
    <cellStyle name="SAPBEXHLevel0X 3 6 4 3" xfId="51433"/>
    <cellStyle name="SAPBEXHLevel0X 3 6 5" xfId="50002"/>
    <cellStyle name="SAPBEXHLevel0X 3 6 5 2" xfId="51047"/>
    <cellStyle name="SAPBEXHLevel0X 3 6 5 3" xfId="51119"/>
    <cellStyle name="SAPBEXHLevel0X 3 6 6" xfId="50714"/>
    <cellStyle name="SAPBEXHLevel0X 3 6 7" xfId="50954"/>
    <cellStyle name="SAPBEXHLevel0X 3 7" xfId="49292"/>
    <cellStyle name="SAPBEXHLevel0X 3 7 2" xfId="49536"/>
    <cellStyle name="SAPBEXHLevel0X 3 7 2 2" xfId="49864"/>
    <cellStyle name="SAPBEXHLevel0X 3 7 2 2 2" xfId="50145"/>
    <cellStyle name="SAPBEXHLevel0X 3 7 2 2 3" xfId="51612"/>
    <cellStyle name="SAPBEXHLevel0X 3 7 2 3" xfId="50503"/>
    <cellStyle name="SAPBEXHLevel0X 3 7 2 4" xfId="51359"/>
    <cellStyle name="SAPBEXHLevel0X 3 7 3" xfId="49424"/>
    <cellStyle name="SAPBEXHLevel0X 3 7 3 2" xfId="49752"/>
    <cellStyle name="SAPBEXHLevel0X 3 7 3 2 2" xfId="50245"/>
    <cellStyle name="SAPBEXHLevel0X 3 7 3 2 3" xfId="51425"/>
    <cellStyle name="SAPBEXHLevel0X 3 7 3 3" xfId="50614"/>
    <cellStyle name="SAPBEXHLevel0X 3 7 3 4" xfId="51227"/>
    <cellStyle name="SAPBEXHLevel0X 3 7 4" xfId="49675"/>
    <cellStyle name="SAPBEXHLevel0X 3 7 4 2" xfId="50344"/>
    <cellStyle name="SAPBEXHLevel0X 3 7 4 3" xfId="51375"/>
    <cellStyle name="SAPBEXHLevel0X 3 7 5" xfId="50001"/>
    <cellStyle name="SAPBEXHLevel0X 3 7 5 2" xfId="51046"/>
    <cellStyle name="SAPBEXHLevel0X 3 7 5 3" xfId="51604"/>
    <cellStyle name="SAPBEXHLevel0X 3 7 6" xfId="50713"/>
    <cellStyle name="SAPBEXHLevel0X 3 7 7" xfId="50907"/>
    <cellStyle name="SAPBEXHLevel0X 3 8" xfId="49293"/>
    <cellStyle name="SAPBEXHLevel0X 3 8 2" xfId="49537"/>
    <cellStyle name="SAPBEXHLevel0X 3 8 2 2" xfId="49865"/>
    <cellStyle name="SAPBEXHLevel0X 3 8 2 2 2" xfId="50144"/>
    <cellStyle name="SAPBEXHLevel0X 3 8 2 2 3" xfId="50961"/>
    <cellStyle name="SAPBEXHLevel0X 3 8 2 3" xfId="50502"/>
    <cellStyle name="SAPBEXHLevel0X 3 8 2 4" xfId="51639"/>
    <cellStyle name="SAPBEXHLevel0X 3 8 3" xfId="49423"/>
    <cellStyle name="SAPBEXHLevel0X 3 8 3 2" xfId="49751"/>
    <cellStyle name="SAPBEXHLevel0X 3 8 3 2 2" xfId="50246"/>
    <cellStyle name="SAPBEXHLevel0X 3 8 3 2 3" xfId="51165"/>
    <cellStyle name="SAPBEXHLevel0X 3 8 3 3" xfId="50615"/>
    <cellStyle name="SAPBEXHLevel0X 3 8 3 4" xfId="50895"/>
    <cellStyle name="SAPBEXHLevel0X 3 8 4" xfId="49676"/>
    <cellStyle name="SAPBEXHLevel0X 3 8 4 2" xfId="50343"/>
    <cellStyle name="SAPBEXHLevel0X 3 8 4 3" xfId="51626"/>
    <cellStyle name="SAPBEXHLevel0X 3 8 5" xfId="50047"/>
    <cellStyle name="SAPBEXHLevel0X 3 8 5 2" xfId="51091"/>
    <cellStyle name="SAPBEXHLevel0X 3 8 5 3" xfId="51585"/>
    <cellStyle name="SAPBEXHLevel0X 3 8 6" xfId="50712"/>
    <cellStyle name="SAPBEXHLevel0X 3 8 7" xfId="50970"/>
    <cellStyle name="SAPBEXHLevel0X 3 9" xfId="49530"/>
    <cellStyle name="SAPBEXHLevel0X 3 9 2" xfId="49858"/>
    <cellStyle name="SAPBEXHLevel0X 3 9 2 2" xfId="50151"/>
    <cellStyle name="SAPBEXHLevel0X 3 9 2 3" xfId="50890"/>
    <cellStyle name="SAPBEXHLevel0X 3 9 3" xfId="50509"/>
    <cellStyle name="SAPBEXHLevel0X 3 9 4" xfId="50910"/>
    <cellStyle name="SAPBEXHLevel0X 30" xfId="46131"/>
    <cellStyle name="SAPBEXHLevel0X 31" xfId="46132"/>
    <cellStyle name="SAPBEXHLevel0X 32" xfId="46133"/>
    <cellStyle name="SAPBEXHLevel0X 33" xfId="46134"/>
    <cellStyle name="SAPBEXHLevel0X 34" xfId="49284"/>
    <cellStyle name="SAPBEXHLevel0X 4" xfId="46135"/>
    <cellStyle name="SAPBEXHLevel0X 4 2" xfId="46136"/>
    <cellStyle name="SAPBEXHLevel0X 4 2 2" xfId="50153"/>
    <cellStyle name="SAPBEXHLevel0X 4 2 3" xfId="51397"/>
    <cellStyle name="SAPBEXHLevel0X 4 2 4" xfId="49856"/>
    <cellStyle name="SAPBEXHLevel0X 4 3" xfId="50511"/>
    <cellStyle name="SAPBEXHLevel0X 4 4" xfId="51356"/>
    <cellStyle name="SAPBEXHLevel0X 4 5" xfId="49528"/>
    <cellStyle name="SAPBEXHLevel0X 5" xfId="46137"/>
    <cellStyle name="SAPBEXHLevel0X 5 2" xfId="46138"/>
    <cellStyle name="SAPBEXHLevel0X 5 2 2" xfId="50237"/>
    <cellStyle name="SAPBEXHLevel0X 5 2 3" xfId="51386"/>
    <cellStyle name="SAPBEXHLevel0X 5 2 4" xfId="49760"/>
    <cellStyle name="SAPBEXHLevel0X 5 3" xfId="50606"/>
    <cellStyle name="SAPBEXHLevel0X 5 4" xfId="50966"/>
    <cellStyle name="SAPBEXHLevel0X 5 5" xfId="49432"/>
    <cellStyle name="SAPBEXHLevel0X 6" xfId="46139"/>
    <cellStyle name="SAPBEXHLevel0X 6 2" xfId="46140"/>
    <cellStyle name="SAPBEXHLevel0X 6 2 2" xfId="50399"/>
    <cellStyle name="SAPBEXHLevel0X 6 3" xfId="51559"/>
    <cellStyle name="SAPBEXHLevel0X 6 4" xfId="49667"/>
    <cellStyle name="SAPBEXHLevel0X 7" xfId="46141"/>
    <cellStyle name="SAPBEXHLevel0X 7 2" xfId="46142"/>
    <cellStyle name="SAPBEXHLevel0X 7 2 2" xfId="51053"/>
    <cellStyle name="SAPBEXHLevel0X 7 3" xfId="51603"/>
    <cellStyle name="SAPBEXHLevel0X 7 4" xfId="50008"/>
    <cellStyle name="SAPBEXHLevel0X 8" xfId="46143"/>
    <cellStyle name="SAPBEXHLevel0X 8 2" xfId="46144"/>
    <cellStyle name="SAPBEXHLevel0X 8 3" xfId="50721"/>
    <cellStyle name="SAPBEXHLevel0X 9" xfId="46145"/>
    <cellStyle name="SAPBEXHLevel0X 9 2" xfId="46146"/>
    <cellStyle name="SAPBEXHLevel0X 9 3" xfId="51465"/>
    <cellStyle name="SAPBEXHLevel0X_0910 GSO Capex RRP - Final (Detail) v2 220710" xfId="46147"/>
    <cellStyle name="SAPBEXHLevel1" xfId="55"/>
    <cellStyle name="SAPBEXHLevel1 10" xfId="46148"/>
    <cellStyle name="SAPBEXHLevel1 10 2" xfId="5093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2 2" xfId="50142"/>
    <cellStyle name="SAPBEXHLevel1 2 2 2 3" xfId="51538"/>
    <cellStyle name="SAPBEXHLevel1 2 2 2 4" xfId="49867"/>
    <cellStyle name="SAPBEXHLevel1 2 2 3" xfId="46171"/>
    <cellStyle name="SAPBEXHLevel1 2 2 3 2" xfId="50500"/>
    <cellStyle name="SAPBEXHLevel1 2 2 4" xfId="51188"/>
    <cellStyle name="SAPBEXHLevel1 2 2 5" xfId="49539"/>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 2 2" xfId="50248"/>
    <cellStyle name="SAPBEXHLevel1 2 3 2 3" xfId="51266"/>
    <cellStyle name="SAPBEXHLevel1 2 3 2 4" xfId="49749"/>
    <cellStyle name="SAPBEXHLevel1 2 3 3" xfId="50617"/>
    <cellStyle name="SAPBEXHLevel1 2 3 4" xfId="51344"/>
    <cellStyle name="SAPBEXHLevel1 2 3 5" xfId="49421"/>
    <cellStyle name="SAPBEXHLevel1 2 30" xfId="46184"/>
    <cellStyle name="SAPBEXHLevel1 2 31" xfId="46185"/>
    <cellStyle name="SAPBEXHLevel1 2 32" xfId="46186"/>
    <cellStyle name="SAPBEXHLevel1 2 33" xfId="49295"/>
    <cellStyle name="SAPBEXHLevel1 2 4" xfId="46187"/>
    <cellStyle name="SAPBEXHLevel1 2 4 2" xfId="46188"/>
    <cellStyle name="SAPBEXHLevel1 2 4 2 2" xfId="50341"/>
    <cellStyle name="SAPBEXHLevel1 2 4 3" xfId="51258"/>
    <cellStyle name="SAPBEXHLevel1 2 4 4" xfId="49678"/>
    <cellStyle name="SAPBEXHLevel1 2 5" xfId="46189"/>
    <cellStyle name="SAPBEXHLevel1 2 5 2" xfId="46190"/>
    <cellStyle name="SAPBEXHLevel1 2 5 2 2" xfId="51044"/>
    <cellStyle name="SAPBEXHLevel1 2 5 3" xfId="51581"/>
    <cellStyle name="SAPBEXHLevel1 2 5 4" xfId="49999"/>
    <cellStyle name="SAPBEXHLevel1 2 6" xfId="46191"/>
    <cellStyle name="SAPBEXHLevel1 2 6 2" xfId="46192"/>
    <cellStyle name="SAPBEXHLevel1 2 6 3" xfId="50710"/>
    <cellStyle name="SAPBEXHLevel1 2 7" xfId="46193"/>
    <cellStyle name="SAPBEXHLevel1 2 7 2" xfId="46194"/>
    <cellStyle name="SAPBEXHLevel1 2 7 3" xfId="51140"/>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2 2" xfId="50143"/>
    <cellStyle name="SAPBEXHLevel1 3 2 3" xfId="51280"/>
    <cellStyle name="SAPBEXHLevel1 3 2 4" xfId="49866"/>
    <cellStyle name="SAPBEXHLevel1 3 3" xfId="46210"/>
    <cellStyle name="SAPBEXHLevel1 3 3 2" xfId="50501"/>
    <cellStyle name="SAPBEXHLevel1 3 4" xfId="50807"/>
    <cellStyle name="SAPBEXHLevel1 3 5" xfId="49538"/>
    <cellStyle name="SAPBEXHLevel1 30" xfId="46211"/>
    <cellStyle name="SAPBEXHLevel1 31" xfId="46212"/>
    <cellStyle name="SAPBEXHLevel1 32" xfId="46213"/>
    <cellStyle name="SAPBEXHLevel1 33" xfId="46214"/>
    <cellStyle name="SAPBEXHLevel1 34" xfId="49294"/>
    <cellStyle name="SAPBEXHLevel1 4" xfId="46215"/>
    <cellStyle name="SAPBEXHLevel1 4 2" xfId="46216"/>
    <cellStyle name="SAPBEXHLevel1 4 2 2" xfId="50247"/>
    <cellStyle name="SAPBEXHLevel1 4 2 3" xfId="51524"/>
    <cellStyle name="SAPBEXHLevel1 4 2 4" xfId="49750"/>
    <cellStyle name="SAPBEXHLevel1 4 3" xfId="50616"/>
    <cellStyle name="SAPBEXHLevel1 4 4" xfId="51653"/>
    <cellStyle name="SAPBEXHLevel1 4 5" xfId="49422"/>
    <cellStyle name="SAPBEXHLevel1 5" xfId="46217"/>
    <cellStyle name="SAPBEXHLevel1 5 2" xfId="46218"/>
    <cellStyle name="SAPBEXHLevel1 5 2 2" xfId="50087"/>
    <cellStyle name="SAPBEXHLevel1 5 2 3" xfId="51108"/>
    <cellStyle name="SAPBEXHLevel1 5 2 4" xfId="49924"/>
    <cellStyle name="SAPBEXHLevel1 5 3" xfId="50443"/>
    <cellStyle name="SAPBEXHLevel1 5 4" xfId="51190"/>
    <cellStyle name="SAPBEXHLevel1 5 5" xfId="49596"/>
    <cellStyle name="SAPBEXHLevel1 6" xfId="46219"/>
    <cellStyle name="SAPBEXHLevel1 6 2" xfId="46220"/>
    <cellStyle name="SAPBEXHLevel1 6 2 2" xfId="50342"/>
    <cellStyle name="SAPBEXHLevel1 6 3" xfId="50810"/>
    <cellStyle name="SAPBEXHLevel1 6 4" xfId="49677"/>
    <cellStyle name="SAPBEXHLevel1 7" xfId="46221"/>
    <cellStyle name="SAPBEXHLevel1 7 2" xfId="46222"/>
    <cellStyle name="SAPBEXHLevel1 7 2 2" xfId="51045"/>
    <cellStyle name="SAPBEXHLevel1 7 3" xfId="51411"/>
    <cellStyle name="SAPBEXHLevel1 7 4" xfId="50000"/>
    <cellStyle name="SAPBEXHLevel1 8" xfId="46223"/>
    <cellStyle name="SAPBEXHLevel1 8 2" xfId="46224"/>
    <cellStyle name="SAPBEXHLevel1 8 3" xfId="50711"/>
    <cellStyle name="SAPBEXHLevel1 9" xfId="46225"/>
    <cellStyle name="SAPBEXHLevel1 9 2" xfId="46226"/>
    <cellStyle name="SAPBEXHLevel1 9 3" xfId="50941"/>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2 2" xfId="50140"/>
    <cellStyle name="SAPBEXHLevel1X 2 2 2 3" xfId="51569"/>
    <cellStyle name="SAPBEXHLevel1X 2 2 2 4" xfId="49869"/>
    <cellStyle name="SAPBEXHLevel1X 2 2 3" xfId="46251"/>
    <cellStyle name="SAPBEXHLevel1X 2 2 3 2" xfId="50498"/>
    <cellStyle name="SAPBEXHLevel1X 2 2 4" xfId="51360"/>
    <cellStyle name="SAPBEXHLevel1X 2 2 5" xfId="4954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 2 2" xfId="50250"/>
    <cellStyle name="SAPBEXHLevel1X 2 3 2 3" xfId="51620"/>
    <cellStyle name="SAPBEXHLevel1X 2 3 2 4" xfId="49747"/>
    <cellStyle name="SAPBEXHLevel1X 2 3 3" xfId="50619"/>
    <cellStyle name="SAPBEXHLevel1X 2 3 4" xfId="51303"/>
    <cellStyle name="SAPBEXHLevel1X 2 3 5" xfId="49419"/>
    <cellStyle name="SAPBEXHLevel1X 2 30" xfId="46264"/>
    <cellStyle name="SAPBEXHLevel1X 2 31" xfId="46265"/>
    <cellStyle name="SAPBEXHLevel1X 2 32" xfId="46266"/>
    <cellStyle name="SAPBEXHLevel1X 2 33" xfId="49297"/>
    <cellStyle name="SAPBEXHLevel1X 2 4" xfId="46267"/>
    <cellStyle name="SAPBEXHLevel1X 2 4 2" xfId="46268"/>
    <cellStyle name="SAPBEXHLevel1X 2 4 2 2" xfId="50333"/>
    <cellStyle name="SAPBEXHLevel1X 2 4 3" xfId="51173"/>
    <cellStyle name="SAPBEXHLevel1X 2 4 4" xfId="49680"/>
    <cellStyle name="SAPBEXHLevel1X 2 5" xfId="46269"/>
    <cellStyle name="SAPBEXHLevel1X 2 5 2" xfId="46270"/>
    <cellStyle name="SAPBEXHLevel1X 2 5 2 2" xfId="51090"/>
    <cellStyle name="SAPBEXHLevel1X 2 5 3" xfId="50902"/>
    <cellStyle name="SAPBEXHLevel1X 2 5 4" xfId="50046"/>
    <cellStyle name="SAPBEXHLevel1X 2 6" xfId="46271"/>
    <cellStyle name="SAPBEXHLevel1X 2 6 2" xfId="46272"/>
    <cellStyle name="SAPBEXHLevel1X 2 6 3" xfId="50708"/>
    <cellStyle name="SAPBEXHLevel1X 2 7" xfId="46273"/>
    <cellStyle name="SAPBEXHLevel1X 2 7 2" xfId="46274"/>
    <cellStyle name="SAPBEXHLevel1X 2 7 3" xfId="50850"/>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10" xfId="49418"/>
    <cellStyle name="SAPBEXHLevel1X 3 10 2" xfId="49746"/>
    <cellStyle name="SAPBEXHLevel1X 3 10 2 2" xfId="50251"/>
    <cellStyle name="SAPBEXHLevel1X 3 10 2 3" xfId="51384"/>
    <cellStyle name="SAPBEXHLevel1X 3 10 3" xfId="50620"/>
    <cellStyle name="SAPBEXHLevel1X 3 10 4" xfId="51462"/>
    <cellStyle name="SAPBEXHLevel1X 3 11" xfId="49681"/>
    <cellStyle name="SAPBEXHLevel1X 3 11 2" xfId="50332"/>
    <cellStyle name="SAPBEXHLevel1X 3 11 3" xfId="51432"/>
    <cellStyle name="SAPBEXHLevel1X 3 12" xfId="49997"/>
    <cellStyle name="SAPBEXHLevel1X 3 12 2" xfId="51042"/>
    <cellStyle name="SAPBEXHLevel1X 3 12 3" xfId="51551"/>
    <cellStyle name="SAPBEXHLevel1X 3 13" xfId="50707"/>
    <cellStyle name="SAPBEXHLevel1X 3 14" xfId="51141"/>
    <cellStyle name="SAPBEXHLevel1X 3 15" xfId="49298"/>
    <cellStyle name="SAPBEXHLevel1X 3 2" xfId="46289"/>
    <cellStyle name="SAPBEXHLevel1X 3 2 2" xfId="49543"/>
    <cellStyle name="SAPBEXHLevel1X 3 2 2 2" xfId="49871"/>
    <cellStyle name="SAPBEXHLevel1X 3 2 2 2 2" xfId="50138"/>
    <cellStyle name="SAPBEXHLevel1X 3 2 2 2 3" xfId="51611"/>
    <cellStyle name="SAPBEXHLevel1X 3 2 2 3" xfId="50496"/>
    <cellStyle name="SAPBEXHLevel1X 3 2 2 4" xfId="50873"/>
    <cellStyle name="SAPBEXHLevel1X 3 2 3" xfId="49417"/>
    <cellStyle name="SAPBEXHLevel1X 3 2 3 2" xfId="49745"/>
    <cellStyle name="SAPBEXHLevel1X 3 2 3 2 2" xfId="50252"/>
    <cellStyle name="SAPBEXHLevel1X 3 2 3 2 3" xfId="51426"/>
    <cellStyle name="SAPBEXHLevel1X 3 2 3 3" xfId="50621"/>
    <cellStyle name="SAPBEXHLevel1X 3 2 3 4" xfId="51204"/>
    <cellStyle name="SAPBEXHLevel1X 3 2 4" xfId="49682"/>
    <cellStyle name="SAPBEXHLevel1X 3 2 4 2" xfId="50326"/>
    <cellStyle name="SAPBEXHLevel1X 3 2 4 3" xfId="51376"/>
    <cellStyle name="SAPBEXHLevel1X 3 2 5" xfId="49996"/>
    <cellStyle name="SAPBEXHLevel1X 3 2 5 2" xfId="51041"/>
    <cellStyle name="SAPBEXHLevel1X 3 2 5 3" xfId="51293"/>
    <cellStyle name="SAPBEXHLevel1X 3 2 6" xfId="50706"/>
    <cellStyle name="SAPBEXHLevel1X 3 2 7" xfId="50916"/>
    <cellStyle name="SAPBEXHLevel1X 3 2 8" xfId="49299"/>
    <cellStyle name="SAPBEXHLevel1X 3 3" xfId="46290"/>
    <cellStyle name="SAPBEXHLevel1X 3 3 2" xfId="49544"/>
    <cellStyle name="SAPBEXHLevel1X 3 3 2 2" xfId="49872"/>
    <cellStyle name="SAPBEXHLevel1X 3 3 2 2 2" xfId="50137"/>
    <cellStyle name="SAPBEXHLevel1X 3 3 2 2 3" xfId="50646"/>
    <cellStyle name="SAPBEXHLevel1X 3 3 2 3" xfId="50495"/>
    <cellStyle name="SAPBEXHLevel1X 3 3 2 4" xfId="51243"/>
    <cellStyle name="SAPBEXHLevel1X 3 3 3" xfId="49591"/>
    <cellStyle name="SAPBEXHLevel1X 3 3 3 2" xfId="49919"/>
    <cellStyle name="SAPBEXHLevel1X 3 3 3 2 2" xfId="50090"/>
    <cellStyle name="SAPBEXHLevel1X 3 3 3 2 3" xfId="51106"/>
    <cellStyle name="SAPBEXHLevel1X 3 3 3 3" xfId="50448"/>
    <cellStyle name="SAPBEXHLevel1X 3 3 3 4" xfId="51662"/>
    <cellStyle name="SAPBEXHLevel1X 3 3 4" xfId="49683"/>
    <cellStyle name="SAPBEXHLevel1X 3 3 4 2" xfId="50325"/>
    <cellStyle name="SAPBEXHLevel1X 3 3 4 3" xfId="51625"/>
    <cellStyle name="SAPBEXHLevel1X 3 3 5" xfId="49995"/>
    <cellStyle name="SAPBEXHLevel1X 3 3 5 2" xfId="51040"/>
    <cellStyle name="SAPBEXHLevel1X 3 3 5 3" xfId="51118"/>
    <cellStyle name="SAPBEXHLevel1X 3 3 6" xfId="50705"/>
    <cellStyle name="SAPBEXHLevel1X 3 3 7" xfId="50662"/>
    <cellStyle name="SAPBEXHLevel1X 3 3 8" xfId="49300"/>
    <cellStyle name="SAPBEXHLevel1X 3 4" xfId="49301"/>
    <cellStyle name="SAPBEXHLevel1X 3 4 2" xfId="49545"/>
    <cellStyle name="SAPBEXHLevel1X 3 4 2 2" xfId="49873"/>
    <cellStyle name="SAPBEXHLevel1X 3 4 2 2 2" xfId="50136"/>
    <cellStyle name="SAPBEXHLevel1X 3 4 2 2 3" xfId="51281"/>
    <cellStyle name="SAPBEXHLevel1X 3 4 2 3" xfId="50494"/>
    <cellStyle name="SAPBEXHLevel1X 3 4 2 4" xfId="51500"/>
    <cellStyle name="SAPBEXHLevel1X 3 4 3" xfId="49416"/>
    <cellStyle name="SAPBEXHLevel1X 3 4 3 2" xfId="49744"/>
    <cellStyle name="SAPBEXHLevel1X 3 4 3 2 2" xfId="50253"/>
    <cellStyle name="SAPBEXHLevel1X 3 4 3 2 3" xfId="51166"/>
    <cellStyle name="SAPBEXHLevel1X 3 4 3 3" xfId="50622"/>
    <cellStyle name="SAPBEXHLevel1X 3 4 3 4" xfId="51483"/>
    <cellStyle name="SAPBEXHLevel1X 3 4 4" xfId="49684"/>
    <cellStyle name="SAPBEXHLevel1X 3 4 4 2" xfId="50324"/>
    <cellStyle name="SAPBEXHLevel1X 3 4 4 3" xfId="50811"/>
    <cellStyle name="SAPBEXHLevel1X 3 4 5" xfId="49994"/>
    <cellStyle name="SAPBEXHLevel1X 3 4 5 2" xfId="51039"/>
    <cellStyle name="SAPBEXHLevel1X 3 4 5 3" xfId="51605"/>
    <cellStyle name="SAPBEXHLevel1X 3 4 6" xfId="50704"/>
    <cellStyle name="SAPBEXHLevel1X 3 4 7" xfId="50903"/>
    <cellStyle name="SAPBEXHLevel1X 3 5" xfId="49302"/>
    <cellStyle name="SAPBEXHLevel1X 3 5 2" xfId="49546"/>
    <cellStyle name="SAPBEXHLevel1X 3 5 2 2" xfId="49874"/>
    <cellStyle name="SAPBEXHLevel1X 3 5 2 2 2" xfId="50135"/>
    <cellStyle name="SAPBEXHLevel1X 3 5 2 2 3" xfId="51539"/>
    <cellStyle name="SAPBEXHLevel1X 3 5 2 3" xfId="50493"/>
    <cellStyle name="SAPBEXHLevel1X 3 5 2 4" xfId="51187"/>
    <cellStyle name="SAPBEXHLevel1X 3 5 3" xfId="49415"/>
    <cellStyle name="SAPBEXHLevel1X 3 5 3 2" xfId="49743"/>
    <cellStyle name="SAPBEXHLevel1X 3 5 3 2 2" xfId="50254"/>
    <cellStyle name="SAPBEXHLevel1X 3 5 3 2 3" xfId="50973"/>
    <cellStyle name="SAPBEXHLevel1X 3 5 3 3" xfId="50623"/>
    <cellStyle name="SAPBEXHLevel1X 3 5 3 4" xfId="51226"/>
    <cellStyle name="SAPBEXHLevel1X 3 5 4" xfId="49685"/>
    <cellStyle name="SAPBEXHLevel1X 3 5 4 2" xfId="50323"/>
    <cellStyle name="SAPBEXHLevel1X 3 5 4 3" xfId="51259"/>
    <cellStyle name="SAPBEXHLevel1X 3 5 5" xfId="49993"/>
    <cellStyle name="SAPBEXHLevel1X 3 5 5 2" xfId="51038"/>
    <cellStyle name="SAPBEXHLevel1X 3 5 5 3" xfId="51410"/>
    <cellStyle name="SAPBEXHLevel1X 3 5 6" xfId="50703"/>
    <cellStyle name="SAPBEXHLevel1X 3 5 7" xfId="50989"/>
    <cellStyle name="SAPBEXHLevel1X 3 6" xfId="49303"/>
    <cellStyle name="SAPBEXHLevel1X 3 6 2" xfId="49547"/>
    <cellStyle name="SAPBEXHLevel1X 3 6 2 2" xfId="49875"/>
    <cellStyle name="SAPBEXHLevel1X 3 6 2 2 2" xfId="50134"/>
    <cellStyle name="SAPBEXHLevel1X 3 6 2 2 3" xfId="51313"/>
    <cellStyle name="SAPBEXHLevel1X 3 6 2 3" xfId="50492"/>
    <cellStyle name="SAPBEXHLevel1X 3 6 2 4" xfId="51445"/>
    <cellStyle name="SAPBEXHLevel1X 3 6 3" xfId="49590"/>
    <cellStyle name="SAPBEXHLevel1X 3 6 3 2" xfId="49918"/>
    <cellStyle name="SAPBEXHLevel1X 3 6 3 2 2" xfId="50091"/>
    <cellStyle name="SAPBEXHLevel1X 3 6 3 2 3" xfId="51152"/>
    <cellStyle name="SAPBEXHLevel1X 3 6 3 3" xfId="50449"/>
    <cellStyle name="SAPBEXHLevel1X 3 6 3 4" xfId="51367"/>
    <cellStyle name="SAPBEXHLevel1X 3 6 4" xfId="49686"/>
    <cellStyle name="SAPBEXHLevel1X 3 6 4 2" xfId="50322"/>
    <cellStyle name="SAPBEXHLevel1X 3 6 4 3" xfId="51516"/>
    <cellStyle name="SAPBEXHLevel1X 3 6 5" xfId="49992"/>
    <cellStyle name="SAPBEXHLevel1X 3 6 5 2" xfId="51037"/>
    <cellStyle name="SAPBEXHLevel1X 3 6 5 3" xfId="51589"/>
    <cellStyle name="SAPBEXHLevel1X 3 6 6" xfId="50702"/>
    <cellStyle name="SAPBEXHLevel1X 3 6 7" xfId="50793"/>
    <cellStyle name="SAPBEXHLevel1X 3 7" xfId="49304"/>
    <cellStyle name="SAPBEXHLevel1X 3 7 2" xfId="49548"/>
    <cellStyle name="SAPBEXHLevel1X 3 7 2 2" xfId="49876"/>
    <cellStyle name="SAPBEXHLevel1X 3 7 2 2 2" xfId="50133"/>
    <cellStyle name="SAPBEXHLevel1X 3 7 2 2 3" xfId="51570"/>
    <cellStyle name="SAPBEXHLevel1X 3 7 2 3" xfId="50491"/>
    <cellStyle name="SAPBEXHLevel1X 3 7 2 4" xfId="51361"/>
    <cellStyle name="SAPBEXHLevel1X 3 7 3" xfId="49414"/>
    <cellStyle name="SAPBEXHLevel1X 3 7 3 2" xfId="49742"/>
    <cellStyle name="SAPBEXHLevel1X 3 7 3 2 2" xfId="50255"/>
    <cellStyle name="SAPBEXHLevel1X 3 7 3 2 3" xfId="51594"/>
    <cellStyle name="SAPBEXHLevel1X 3 7 3 3" xfId="50624"/>
    <cellStyle name="SAPBEXHLevel1X 3 7 3 4" xfId="50957"/>
    <cellStyle name="SAPBEXHLevel1X 3 7 4" xfId="49687"/>
    <cellStyle name="SAPBEXHLevel1X 3 7 4 2" xfId="50321"/>
    <cellStyle name="SAPBEXHLevel1X 3 7 4 3" xfId="50648"/>
    <cellStyle name="SAPBEXHLevel1X 3 7 5" xfId="49965"/>
    <cellStyle name="SAPBEXHLevel1X 3 7 5 2" xfId="51010"/>
    <cellStyle name="SAPBEXHLevel1X 3 7 5 3" xfId="51577"/>
    <cellStyle name="SAPBEXHLevel1X 3 7 6" xfId="50701"/>
    <cellStyle name="SAPBEXHLevel1X 3 7 7" xfId="50794"/>
    <cellStyle name="SAPBEXHLevel1X 3 8" xfId="49305"/>
    <cellStyle name="SAPBEXHLevel1X 3 8 2" xfId="49549"/>
    <cellStyle name="SAPBEXHLevel1X 3 8 2 2" xfId="49877"/>
    <cellStyle name="SAPBEXHLevel1X 3 8 2 2 2" xfId="50132"/>
    <cellStyle name="SAPBEXHLevel1X 3 8 2 2 3" xfId="51400"/>
    <cellStyle name="SAPBEXHLevel1X 3 8 2 3" xfId="50490"/>
    <cellStyle name="SAPBEXHLevel1X 3 8 2 4" xfId="51637"/>
    <cellStyle name="SAPBEXHLevel1X 3 8 3" xfId="49413"/>
    <cellStyle name="SAPBEXHLevel1X 3 8 3 2" xfId="49741"/>
    <cellStyle name="SAPBEXHLevel1X 3 8 3 2 2" xfId="50256"/>
    <cellStyle name="SAPBEXHLevel1X 3 8 3 2 3" xfId="51383"/>
    <cellStyle name="SAPBEXHLevel1X 3 8 3 3" xfId="50625"/>
    <cellStyle name="SAPBEXHLevel1X 3 8 3 4" xfId="51654"/>
    <cellStyle name="SAPBEXHLevel1X 3 8 4" xfId="49688"/>
    <cellStyle name="SAPBEXHLevel1X 3 8 4 2" xfId="50320"/>
    <cellStyle name="SAPBEXHLevel1X 3 8 4 3" xfId="51301"/>
    <cellStyle name="SAPBEXHLevel1X 3 8 5" xfId="49991"/>
    <cellStyle name="SAPBEXHLevel1X 3 8 5 2" xfId="51036"/>
    <cellStyle name="SAPBEXHLevel1X 3 8 5 3" xfId="51334"/>
    <cellStyle name="SAPBEXHLevel1X 3 8 6" xfId="50700"/>
    <cellStyle name="SAPBEXHLevel1X 3 8 7" xfId="50795"/>
    <cellStyle name="SAPBEXHLevel1X 3 9" xfId="49542"/>
    <cellStyle name="SAPBEXHLevel1X 3 9 2" xfId="49870"/>
    <cellStyle name="SAPBEXHLevel1X 3 9 2 2" xfId="50139"/>
    <cellStyle name="SAPBEXHLevel1X 3 9 2 3" xfId="51399"/>
    <cellStyle name="SAPBEXHLevel1X 3 9 3" xfId="50497"/>
    <cellStyle name="SAPBEXHLevel1X 3 9 4" xfId="51638"/>
    <cellStyle name="SAPBEXHLevel1X 30" xfId="46291"/>
    <cellStyle name="SAPBEXHLevel1X 31" xfId="46292"/>
    <cellStyle name="SAPBEXHLevel1X 32" xfId="46293"/>
    <cellStyle name="SAPBEXHLevel1X 33" xfId="46294"/>
    <cellStyle name="SAPBEXHLevel1X 34" xfId="49296"/>
    <cellStyle name="SAPBEXHLevel1X 4" xfId="46295"/>
    <cellStyle name="SAPBEXHLevel1X 4 2" xfId="46296"/>
    <cellStyle name="SAPBEXHLevel1X 4 2 2" xfId="50141"/>
    <cellStyle name="SAPBEXHLevel1X 4 2 3" xfId="51312"/>
    <cellStyle name="SAPBEXHLevel1X 4 2 4" xfId="49868"/>
    <cellStyle name="SAPBEXHLevel1X 4 3" xfId="50499"/>
    <cellStyle name="SAPBEXHLevel1X 4 4" xfId="51446"/>
    <cellStyle name="SAPBEXHLevel1X 4 5" xfId="49540"/>
    <cellStyle name="SAPBEXHLevel1X 5" xfId="46297"/>
    <cellStyle name="SAPBEXHLevel1X 5 2" xfId="46298"/>
    <cellStyle name="SAPBEXHLevel1X 5 2 2" xfId="50249"/>
    <cellStyle name="SAPBEXHLevel1X 5 2 3" xfId="50813"/>
    <cellStyle name="SAPBEXHLevel1X 5 2 4" xfId="49748"/>
    <cellStyle name="SAPBEXHLevel1X 5 3" xfId="50618"/>
    <cellStyle name="SAPBEXHLevel1X 5 4" xfId="51560"/>
    <cellStyle name="SAPBEXHLevel1X 5 5" xfId="49420"/>
    <cellStyle name="SAPBEXHLevel1X 6" xfId="46299"/>
    <cellStyle name="SAPBEXHLevel1X 6 2" xfId="46300"/>
    <cellStyle name="SAPBEXHLevel1X 6 2 2" xfId="50334"/>
    <cellStyle name="SAPBEXHLevel1X 6 3" xfId="51515"/>
    <cellStyle name="SAPBEXHLevel1X 6 4" xfId="49679"/>
    <cellStyle name="SAPBEXHLevel1X 7" xfId="46301"/>
    <cellStyle name="SAPBEXHLevel1X 7 2" xfId="46302"/>
    <cellStyle name="SAPBEXHLevel1X 7 2 2" xfId="51043"/>
    <cellStyle name="SAPBEXHLevel1X 7 3" xfId="51324"/>
    <cellStyle name="SAPBEXHLevel1X 7 4" xfId="49998"/>
    <cellStyle name="SAPBEXHLevel1X 8" xfId="46303"/>
    <cellStyle name="SAPBEXHLevel1X 8 2" xfId="46304"/>
    <cellStyle name="SAPBEXHLevel1X 8 3" xfId="50709"/>
    <cellStyle name="SAPBEXHLevel1X 9" xfId="46305"/>
    <cellStyle name="SAPBEXHLevel1X 9 2" xfId="46306"/>
    <cellStyle name="SAPBEXHLevel1X 9 3" xfId="50940"/>
    <cellStyle name="SAPBEXHLevel1X_0910 GSO Capex RRP - Final (Detail) v2 220710" xfId="46307"/>
    <cellStyle name="SAPBEXHLevel2" xfId="57"/>
    <cellStyle name="SAPBEXHLevel2 10" xfId="46308"/>
    <cellStyle name="SAPBEXHLevel2 10 2" xfId="50785"/>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2 2" xfId="50130"/>
    <cellStyle name="SAPBEXHLevel2 2 2 2 3" xfId="50914"/>
    <cellStyle name="SAPBEXHLevel2 2 2 2 4" xfId="49879"/>
    <cellStyle name="SAPBEXHLevel2 2 2 3" xfId="46331"/>
    <cellStyle name="SAPBEXHLevel2 2 2 3 2" xfId="50488"/>
    <cellStyle name="SAPBEXHLevel2 2 2 4" xfId="51244"/>
    <cellStyle name="SAPBEXHLevel2 2 2 5" xfId="4955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 2 2" xfId="50258"/>
    <cellStyle name="SAPBEXHLevel2 2 3 2 3" xfId="51167"/>
    <cellStyle name="SAPBEXHLevel2 2 3 2 4" xfId="49739"/>
    <cellStyle name="SAPBEXHLevel2 2 3 3" xfId="50627"/>
    <cellStyle name="SAPBEXHLevel2 2 3 4" xfId="51463"/>
    <cellStyle name="SAPBEXHLevel2 2 3 5" xfId="49411"/>
    <cellStyle name="SAPBEXHLevel2 2 30" xfId="46344"/>
    <cellStyle name="SAPBEXHLevel2 2 31" xfId="46345"/>
    <cellStyle name="SAPBEXHLevel2 2 32" xfId="46346"/>
    <cellStyle name="SAPBEXHLevel2 2 33" xfId="49307"/>
    <cellStyle name="SAPBEXHLevel2 2 4" xfId="46347"/>
    <cellStyle name="SAPBEXHLevel2 2 4 2" xfId="46348"/>
    <cellStyle name="SAPBEXHLevel2 2 4 2 2" xfId="50317"/>
    <cellStyle name="SAPBEXHLevel2 2 4 3" xfId="51377"/>
    <cellStyle name="SAPBEXHLevel2 2 4 4" xfId="49690"/>
    <cellStyle name="SAPBEXHLevel2 2 5" xfId="46349"/>
    <cellStyle name="SAPBEXHLevel2 2 5 2" xfId="46350"/>
    <cellStyle name="SAPBEXHLevel2 2 5 2 2" xfId="51035"/>
    <cellStyle name="SAPBEXHLevel2 2 5 3" xfId="51580"/>
    <cellStyle name="SAPBEXHLevel2 2 5 4" xfId="49990"/>
    <cellStyle name="SAPBEXHLevel2 2 6" xfId="46351"/>
    <cellStyle name="SAPBEXHLevel2 2 6 2" xfId="46352"/>
    <cellStyle name="SAPBEXHLevel2 2 6 3" xfId="50698"/>
    <cellStyle name="SAPBEXHLevel2 2 7" xfId="46353"/>
    <cellStyle name="SAPBEXHLevel2 2 7 2" xfId="46354"/>
    <cellStyle name="SAPBEXHLevel2 2 7 3" xfId="50796"/>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2 2" xfId="50131"/>
    <cellStyle name="SAPBEXHLevel2 3 2 3" xfId="51610"/>
    <cellStyle name="SAPBEXHLevel2 3 2 4" xfId="49878"/>
    <cellStyle name="SAPBEXHLevel2 3 3" xfId="46370"/>
    <cellStyle name="SAPBEXHLevel2 3 3 2" xfId="50489"/>
    <cellStyle name="SAPBEXHLevel2 3 4" xfId="50947"/>
    <cellStyle name="SAPBEXHLevel2 3 5" xfId="49550"/>
    <cellStyle name="SAPBEXHLevel2 30" xfId="46371"/>
    <cellStyle name="SAPBEXHLevel2 31" xfId="46372"/>
    <cellStyle name="SAPBEXHLevel2 32" xfId="46373"/>
    <cellStyle name="SAPBEXHLevel2 33" xfId="46374"/>
    <cellStyle name="SAPBEXHLevel2 34" xfId="49306"/>
    <cellStyle name="SAPBEXHLevel2 4" xfId="46375"/>
    <cellStyle name="SAPBEXHLevel2 4 2" xfId="46376"/>
    <cellStyle name="SAPBEXHLevel2 4 2 2" xfId="50257"/>
    <cellStyle name="SAPBEXHLevel2 4 2 3" xfId="51427"/>
    <cellStyle name="SAPBEXHLevel2 4 2 4" xfId="49740"/>
    <cellStyle name="SAPBEXHLevel2 4 3" xfId="50626"/>
    <cellStyle name="SAPBEXHLevel2 4 4" xfId="51343"/>
    <cellStyle name="SAPBEXHLevel2 4 5" xfId="49412"/>
    <cellStyle name="SAPBEXHLevel2 5" xfId="46377"/>
    <cellStyle name="SAPBEXHLevel2 5 2" xfId="46378"/>
    <cellStyle name="SAPBEXHLevel2 5 2 2" xfId="50107"/>
    <cellStyle name="SAPBEXHLevel2 5 2 3" xfId="51275"/>
    <cellStyle name="SAPBEXHLevel2 5 2 4" xfId="49902"/>
    <cellStyle name="SAPBEXHLevel2 5 3" xfId="50465"/>
    <cellStyle name="SAPBEXHLevel2 5 4" xfId="51183"/>
    <cellStyle name="SAPBEXHLevel2 5 5" xfId="49574"/>
    <cellStyle name="SAPBEXHLevel2 6" xfId="46379"/>
    <cellStyle name="SAPBEXHLevel2 6 2" xfId="46380"/>
    <cellStyle name="SAPBEXHLevel2 6 2 2" xfId="50318"/>
    <cellStyle name="SAPBEXHLevel2 6 3" xfId="51558"/>
    <cellStyle name="SAPBEXHLevel2 6 4" xfId="49689"/>
    <cellStyle name="SAPBEXHLevel2 7" xfId="46381"/>
    <cellStyle name="SAPBEXHLevel2 7 2" xfId="46382"/>
    <cellStyle name="SAPBEXHLevel2 7 2 2" xfId="51006"/>
    <cellStyle name="SAPBEXHLevel2 7 3" xfId="51416"/>
    <cellStyle name="SAPBEXHLevel2 7 4" xfId="49961"/>
    <cellStyle name="SAPBEXHLevel2 8" xfId="46383"/>
    <cellStyle name="SAPBEXHLevel2 8 2" xfId="46384"/>
    <cellStyle name="SAPBEXHLevel2 8 3" xfId="50699"/>
    <cellStyle name="SAPBEXHLevel2 9" xfId="46385"/>
    <cellStyle name="SAPBEXHLevel2 9 2" xfId="46386"/>
    <cellStyle name="SAPBEXHLevel2 9 3" xfId="50840"/>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2 2" xfId="50128"/>
    <cellStyle name="SAPBEXHLevel2X 2 2 2 3" xfId="51540"/>
    <cellStyle name="SAPBEXHLevel2X 2 2 2 4" xfId="49881"/>
    <cellStyle name="SAPBEXHLevel2X 2 2 3" xfId="46411"/>
    <cellStyle name="SAPBEXHLevel2X 2 2 3 2" xfId="50486"/>
    <cellStyle name="SAPBEXHLevel2X 2 2 4" xfId="51186"/>
    <cellStyle name="SAPBEXHLevel2X 2 2 5" xfId="49553"/>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 2 2" xfId="50260"/>
    <cellStyle name="SAPBEXHLevel2X 2 3 2 3" xfId="51264"/>
    <cellStyle name="SAPBEXHLevel2X 2 3 2 4" xfId="49737"/>
    <cellStyle name="SAPBEXHLevel2X 2 3 3" xfId="50629"/>
    <cellStyle name="SAPBEXHLevel2X 2 3 4" xfId="51482"/>
    <cellStyle name="SAPBEXHLevel2X 2 3 5" xfId="49409"/>
    <cellStyle name="SAPBEXHLevel2X 2 30" xfId="46424"/>
    <cellStyle name="SAPBEXHLevel2X 2 31" xfId="46425"/>
    <cellStyle name="SAPBEXHLevel2X 2 32" xfId="46426"/>
    <cellStyle name="SAPBEXHLevel2X 2 33" xfId="49309"/>
    <cellStyle name="SAPBEXHLevel2X 2 4" xfId="46427"/>
    <cellStyle name="SAPBEXHLevel2X 2 4 2" xfId="46428"/>
    <cellStyle name="SAPBEXHLevel2X 2 4 2 2" xfId="50315"/>
    <cellStyle name="SAPBEXHLevel2X 2 4 3" xfId="50812"/>
    <cellStyle name="SAPBEXHLevel2X 2 4 4" xfId="49692"/>
    <cellStyle name="SAPBEXHLevel2X 2 5" xfId="46429"/>
    <cellStyle name="SAPBEXHLevel2X 2 5 2" xfId="46430"/>
    <cellStyle name="SAPBEXHLevel2X 2 5 2 2" xfId="51005"/>
    <cellStyle name="SAPBEXHLevel2X 2 5 3" xfId="51289"/>
    <cellStyle name="SAPBEXHLevel2X 2 5 4" xfId="49960"/>
    <cellStyle name="SAPBEXHLevel2X 2 6" xfId="46431"/>
    <cellStyle name="SAPBEXHLevel2X 2 6 2" xfId="46432"/>
    <cellStyle name="SAPBEXHLevel2X 2 6 3" xfId="50696"/>
    <cellStyle name="SAPBEXHLevel2X 2 7" xfId="46433"/>
    <cellStyle name="SAPBEXHLevel2X 2 7 2" xfId="46434"/>
    <cellStyle name="SAPBEXHLevel2X 2 7 3" xfId="50841"/>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10" xfId="49408"/>
    <cellStyle name="SAPBEXHLevel2X 3 10 2" xfId="49736"/>
    <cellStyle name="SAPBEXHLevel2X 3 10 2 2" xfId="50261"/>
    <cellStyle name="SAPBEXHLevel2X 3 10 2 3" xfId="50643"/>
    <cellStyle name="SAPBEXHLevel2X 3 10 3" xfId="50630"/>
    <cellStyle name="SAPBEXHLevel2X 3 10 4" xfId="51225"/>
    <cellStyle name="SAPBEXHLevel2X 3 11" xfId="49693"/>
    <cellStyle name="SAPBEXHLevel2X 3 11 2" xfId="50314"/>
    <cellStyle name="SAPBEXHLevel2X 3 11 3" xfId="51134"/>
    <cellStyle name="SAPBEXHLevel2X 3 12" xfId="49988"/>
    <cellStyle name="SAPBEXHLevel2X 3 12 2" xfId="51033"/>
    <cellStyle name="SAPBEXHLevel2X 3 12 3" xfId="51550"/>
    <cellStyle name="SAPBEXHLevel2X 3 13" xfId="50695"/>
    <cellStyle name="SAPBEXHLevel2X 3 14" xfId="50656"/>
    <cellStyle name="SAPBEXHLevel2X 3 15" xfId="49310"/>
    <cellStyle name="SAPBEXHLevel2X 3 2" xfId="46449"/>
    <cellStyle name="SAPBEXHLevel2X 3 2 2" xfId="49555"/>
    <cellStyle name="SAPBEXHLevel2X 3 2 2 2" xfId="49883"/>
    <cellStyle name="SAPBEXHLevel2X 3 2 2 2 2" xfId="50126"/>
    <cellStyle name="SAPBEXHLevel2X 3 2 2 2 3" xfId="51571"/>
    <cellStyle name="SAPBEXHLevel2X 3 2 2 3" xfId="50484"/>
    <cellStyle name="SAPBEXHLevel2X 3 2 2 4" xfId="51362"/>
    <cellStyle name="SAPBEXHLevel2X 3 2 3" xfId="49407"/>
    <cellStyle name="SAPBEXHLevel2X 3 2 3 2" xfId="49735"/>
    <cellStyle name="SAPBEXHLevel2X 3 2 3 2 2" xfId="50262"/>
    <cellStyle name="SAPBEXHLevel2X 3 2 3 2 3" xfId="50913"/>
    <cellStyle name="SAPBEXHLevel2X 3 2 3 3" xfId="50631"/>
    <cellStyle name="SAPBEXHLevel2X 3 2 3 4" xfId="50885"/>
    <cellStyle name="SAPBEXHLevel2X 3 2 4" xfId="49694"/>
    <cellStyle name="SAPBEXHLevel2X 3 2 4 2" xfId="50313"/>
    <cellStyle name="SAPBEXHLevel2X 3 2 4 3" xfId="51260"/>
    <cellStyle name="SAPBEXHLevel2X 3 2 5" xfId="50044"/>
    <cellStyle name="SAPBEXHLevel2X 3 2 5 2" xfId="51088"/>
    <cellStyle name="SAPBEXHLevel2X 3 2 5 3" xfId="51555"/>
    <cellStyle name="SAPBEXHLevel2X 3 2 6" xfId="50694"/>
    <cellStyle name="SAPBEXHLevel2X 3 2 7" xfId="50798"/>
    <cellStyle name="SAPBEXHLevel2X 3 2 8" xfId="49311"/>
    <cellStyle name="SAPBEXHLevel2X 3 3" xfId="46450"/>
    <cellStyle name="SAPBEXHLevel2X 3 3 2" xfId="49556"/>
    <cellStyle name="SAPBEXHLevel2X 3 3 2 2" xfId="49884"/>
    <cellStyle name="SAPBEXHLevel2X 3 3 2 2 2" xfId="50125"/>
    <cellStyle name="SAPBEXHLevel2X 3 3 2 2 3" xfId="51401"/>
    <cellStyle name="SAPBEXHLevel2X 3 3 2 3" xfId="50483"/>
    <cellStyle name="SAPBEXHLevel2X 3 3 2 4" xfId="51636"/>
    <cellStyle name="SAPBEXHLevel2X 3 3 3" xfId="49406"/>
    <cellStyle name="SAPBEXHLevel2X 3 3 3 2" xfId="49734"/>
    <cellStyle name="SAPBEXHLevel2X 3 3 3 2 2" xfId="50263"/>
    <cellStyle name="SAPBEXHLevel2X 3 3 3 2 3" xfId="51595"/>
    <cellStyle name="SAPBEXHLevel2X 3 3 3 3" xfId="50632"/>
    <cellStyle name="SAPBEXHLevel2X 3 3 3 4" xfId="51655"/>
    <cellStyle name="SAPBEXHLevel2X 3 3 4" xfId="49695"/>
    <cellStyle name="SAPBEXHLevel2X 3 3 4 2" xfId="50312"/>
    <cellStyle name="SAPBEXHLevel2X 3 3 4 3" xfId="51517"/>
    <cellStyle name="SAPBEXHLevel2X 3 3 5" xfId="49987"/>
    <cellStyle name="SAPBEXHLevel2X 3 3 5 2" xfId="51032"/>
    <cellStyle name="SAPBEXHLevel2X 3 3 5 3" xfId="51292"/>
    <cellStyle name="SAPBEXHLevel2X 3 3 6" xfId="50693"/>
    <cellStyle name="SAPBEXHLevel2X 3 3 7" xfId="50962"/>
    <cellStyle name="SAPBEXHLevel2X 3 3 8" xfId="49312"/>
    <cellStyle name="SAPBEXHLevel2X 3 4" xfId="49313"/>
    <cellStyle name="SAPBEXHLevel2X 3 4 2" xfId="49557"/>
    <cellStyle name="SAPBEXHLevel2X 3 4 2 2" xfId="49885"/>
    <cellStyle name="SAPBEXHLevel2X 3 4 2 2 2" xfId="50124"/>
    <cellStyle name="SAPBEXHLevel2X 3 4 2 2 3" xfId="51660"/>
    <cellStyle name="SAPBEXHLevel2X 3 4 2 3" xfId="50482"/>
    <cellStyle name="SAPBEXHLevel2X 3 4 2 4" xfId="50888"/>
    <cellStyle name="SAPBEXHLevel2X 3 4 3" xfId="49405"/>
    <cellStyle name="SAPBEXHLevel2X 3 4 3 2" xfId="49733"/>
    <cellStyle name="SAPBEXHLevel2X 3 4 3 2 2" xfId="50264"/>
    <cellStyle name="SAPBEXHLevel2X 3 4 3 2 3" xfId="51380"/>
    <cellStyle name="SAPBEXHLevel2X 3 4 3 3" xfId="50633"/>
    <cellStyle name="SAPBEXHLevel2X 3 4 3 4" xfId="51342"/>
    <cellStyle name="SAPBEXHLevel2X 3 4 4" xfId="49696"/>
    <cellStyle name="SAPBEXHLevel2X 3 4 4 2" xfId="50311"/>
    <cellStyle name="SAPBEXHLevel2X 3 4 4 3" xfId="51172"/>
    <cellStyle name="SAPBEXHLevel2X 3 4 5" xfId="49986"/>
    <cellStyle name="SAPBEXHLevel2X 3 4 5 2" xfId="51031"/>
    <cellStyle name="SAPBEXHLevel2X 3 4 5 3" xfId="51117"/>
    <cellStyle name="SAPBEXHLevel2X 3 4 6" xfId="50692"/>
    <cellStyle name="SAPBEXHLevel2X 3 4 7" xfId="50842"/>
    <cellStyle name="SAPBEXHLevel2X 3 5" xfId="49314"/>
    <cellStyle name="SAPBEXHLevel2X 3 5 2" xfId="49558"/>
    <cellStyle name="SAPBEXHLevel2X 3 5 2 2" xfId="49886"/>
    <cellStyle name="SAPBEXHLevel2X 3 5 2 2 2" xfId="50123"/>
    <cellStyle name="SAPBEXHLevel2X 3 5 2 2 3" xfId="50972"/>
    <cellStyle name="SAPBEXHLevel2X 3 5 2 3" xfId="50481"/>
    <cellStyle name="SAPBEXHLevel2X 3 5 2 4" xfId="51245"/>
    <cellStyle name="SAPBEXHLevel2X 3 5 3" xfId="49404"/>
    <cellStyle name="SAPBEXHLevel2X 3 5 3 2" xfId="49732"/>
    <cellStyle name="SAPBEXHLevel2X 3 5 3 2 2" xfId="50265"/>
    <cellStyle name="SAPBEXHLevel2X 3 5 3 2 3" xfId="51543"/>
    <cellStyle name="SAPBEXHLevel2X 3 5 3 3" xfId="50634"/>
    <cellStyle name="SAPBEXHLevel2X 3 5 3 4" xfId="51475"/>
    <cellStyle name="SAPBEXHLevel2X 3 5 4" xfId="49697"/>
    <cellStyle name="SAPBEXHLevel2X 3 5 4 2" xfId="50310"/>
    <cellStyle name="SAPBEXHLevel2X 3 5 4 3" xfId="50865"/>
    <cellStyle name="SAPBEXHLevel2X 3 5 5" xfId="49957"/>
    <cellStyle name="SAPBEXHLevel2X 3 5 5 2" xfId="51002"/>
    <cellStyle name="SAPBEXHLevel2X 3 5 5 3" xfId="51406"/>
    <cellStyle name="SAPBEXHLevel2X 3 5 6" xfId="50691"/>
    <cellStyle name="SAPBEXHLevel2X 3 5 7" xfId="50799"/>
    <cellStyle name="SAPBEXHLevel2X 3 6" xfId="49315"/>
    <cellStyle name="SAPBEXHLevel2X 3 6 2" xfId="49559"/>
    <cellStyle name="SAPBEXHLevel2X 3 6 2 2" xfId="49887"/>
    <cellStyle name="SAPBEXHLevel2X 3 6 2 2 2" xfId="50122"/>
    <cellStyle name="SAPBEXHLevel2X 3 6 2 2 3" xfId="51283"/>
    <cellStyle name="SAPBEXHLevel2X 3 6 2 3" xfId="50480"/>
    <cellStyle name="SAPBEXHLevel2X 3 6 2 4" xfId="51502"/>
    <cellStyle name="SAPBEXHLevel2X 3 6 3" xfId="49403"/>
    <cellStyle name="SAPBEXHLevel2X 3 6 3 2" xfId="49731"/>
    <cellStyle name="SAPBEXHLevel2X 3 6 3 2 2" xfId="50266"/>
    <cellStyle name="SAPBEXHLevel2X 3 6 3 2 3" xfId="51285"/>
    <cellStyle name="SAPBEXHLevel2X 3 6 3 3" xfId="50635"/>
    <cellStyle name="SAPBEXHLevel2X 3 6 3 4" xfId="51219"/>
    <cellStyle name="SAPBEXHLevel2X 3 6 4" xfId="49698"/>
    <cellStyle name="SAPBEXHLevel2X 3 6 4 2" xfId="50309"/>
    <cellStyle name="SAPBEXHLevel2X 3 6 4 3" xfId="51431"/>
    <cellStyle name="SAPBEXHLevel2X 3 6 5" xfId="49985"/>
    <cellStyle name="SAPBEXHLevel2X 3 6 5 2" xfId="51030"/>
    <cellStyle name="SAPBEXHLevel2X 3 6 5 3" xfId="51606"/>
    <cellStyle name="SAPBEXHLevel2X 3 6 6" xfId="50690"/>
    <cellStyle name="SAPBEXHLevel2X 3 6 7" xfId="50843"/>
    <cellStyle name="SAPBEXHLevel2X 3 7" xfId="49316"/>
    <cellStyle name="SAPBEXHLevel2X 3 7 2" xfId="49560"/>
    <cellStyle name="SAPBEXHLevel2X 3 7 2 2" xfId="49888"/>
    <cellStyle name="SAPBEXHLevel2X 3 7 2 2 2" xfId="50121"/>
    <cellStyle name="SAPBEXHLevel2X 3 7 2 2 3" xfId="51541"/>
    <cellStyle name="SAPBEXHLevel2X 3 7 2 3" xfId="50479"/>
    <cellStyle name="SAPBEXHLevel2X 3 7 2 4" xfId="51185"/>
    <cellStyle name="SAPBEXHLevel2X 3 7 3" xfId="49589"/>
    <cellStyle name="SAPBEXHLevel2X 3 7 3 2" xfId="49917"/>
    <cellStyle name="SAPBEXHLevel2X 3 7 3 2 2" xfId="50092"/>
    <cellStyle name="SAPBEXHLevel2X 3 7 3 2 3" xfId="51105"/>
    <cellStyle name="SAPBEXHLevel2X 3 7 3 3" xfId="50450"/>
    <cellStyle name="SAPBEXHLevel2X 3 7 3 4" xfId="51439"/>
    <cellStyle name="SAPBEXHLevel2X 3 7 4" xfId="49699"/>
    <cellStyle name="SAPBEXHLevel2X 3 7 4 2" xfId="50282"/>
    <cellStyle name="SAPBEXHLevel2X 3 7 4 3" xfId="51378"/>
    <cellStyle name="SAPBEXHLevel2X 3 7 5" xfId="49984"/>
    <cellStyle name="SAPBEXHLevel2X 3 7 5 2" xfId="51029"/>
    <cellStyle name="SAPBEXHLevel2X 3 7 5 3" xfId="51409"/>
    <cellStyle name="SAPBEXHLevel2X 3 7 6" xfId="50689"/>
    <cellStyle name="SAPBEXHLevel2X 3 7 7" xfId="50800"/>
    <cellStyle name="SAPBEXHLevel2X 3 8" xfId="49317"/>
    <cellStyle name="SAPBEXHLevel2X 3 8 2" xfId="49561"/>
    <cellStyle name="SAPBEXHLevel2X 3 8 2 2" xfId="49889"/>
    <cellStyle name="SAPBEXHLevel2X 3 8 2 2 2" xfId="50120"/>
    <cellStyle name="SAPBEXHLevel2X 3 8 2 2 3" xfId="51315"/>
    <cellStyle name="SAPBEXHLevel2X 3 8 2 3" xfId="50478"/>
    <cellStyle name="SAPBEXHLevel2X 3 8 2 4" xfId="51443"/>
    <cellStyle name="SAPBEXHLevel2X 3 8 3" xfId="49402"/>
    <cellStyle name="SAPBEXHLevel2X 3 8 3 2" xfId="49730"/>
    <cellStyle name="SAPBEXHLevel2X 3 8 3 2 2" xfId="50267"/>
    <cellStyle name="SAPBEXHLevel2X 3 8 3 2 3" xfId="51429"/>
    <cellStyle name="SAPBEXHLevel2X 3 8 3 3" xfId="50636"/>
    <cellStyle name="SAPBEXHLevel2X 3 8 3 4" xfId="51464"/>
    <cellStyle name="SAPBEXHLevel2X 3 8 4" xfId="49700"/>
    <cellStyle name="SAPBEXHLevel2X 3 8 4 2" xfId="50281"/>
    <cellStyle name="SAPBEXHLevel2X 3 8 4 3" xfId="51598"/>
    <cellStyle name="SAPBEXHLevel2X 3 8 5" xfId="50052"/>
    <cellStyle name="SAPBEXHLevel2X 3 8 5 2" xfId="51096"/>
    <cellStyle name="SAPBEXHLevel2X 3 8 5 3" xfId="51298"/>
    <cellStyle name="SAPBEXHLevel2X 3 8 6" xfId="50688"/>
    <cellStyle name="SAPBEXHLevel2X 3 8 7" xfId="50844"/>
    <cellStyle name="SAPBEXHLevel2X 3 9" xfId="49554"/>
    <cellStyle name="SAPBEXHLevel2X 3 9 2" xfId="49882"/>
    <cellStyle name="SAPBEXHLevel2X 3 9 2 2" xfId="50127"/>
    <cellStyle name="SAPBEXHLevel2X 3 9 2 3" xfId="51314"/>
    <cellStyle name="SAPBEXHLevel2X 3 9 3" xfId="50485"/>
    <cellStyle name="SAPBEXHLevel2X 3 9 4" xfId="51444"/>
    <cellStyle name="SAPBEXHLevel2X 30" xfId="46451"/>
    <cellStyle name="SAPBEXHLevel2X 31" xfId="46452"/>
    <cellStyle name="SAPBEXHLevel2X 32" xfId="46453"/>
    <cellStyle name="SAPBEXHLevel2X 33" xfId="46454"/>
    <cellStyle name="SAPBEXHLevel2X 34" xfId="49308"/>
    <cellStyle name="SAPBEXHLevel2X 4" xfId="46455"/>
    <cellStyle name="SAPBEXHLevel2X 4 2" xfId="46456"/>
    <cellStyle name="SAPBEXHLevel2X 4 2 2" xfId="50129"/>
    <cellStyle name="SAPBEXHLevel2X 4 2 3" xfId="51282"/>
    <cellStyle name="SAPBEXHLevel2X 4 2 4" xfId="49880"/>
    <cellStyle name="SAPBEXHLevel2X 4 3" xfId="50487"/>
    <cellStyle name="SAPBEXHLevel2X 4 4" xfId="51501"/>
    <cellStyle name="SAPBEXHLevel2X 4 5" xfId="49552"/>
    <cellStyle name="SAPBEXHLevel2X 5" xfId="46457"/>
    <cellStyle name="SAPBEXHLevel2X 5 2" xfId="46458"/>
    <cellStyle name="SAPBEXHLevel2X 5 2 2" xfId="50259"/>
    <cellStyle name="SAPBEXHLevel2X 5 2 3" xfId="51522"/>
    <cellStyle name="SAPBEXHLevel2X 5 2 4" xfId="49738"/>
    <cellStyle name="SAPBEXHLevel2X 5 3" xfId="50628"/>
    <cellStyle name="SAPBEXHLevel2X 5 4" xfId="51205"/>
    <cellStyle name="SAPBEXHLevel2X 5 5" xfId="49410"/>
    <cellStyle name="SAPBEXHLevel2X 6" xfId="46459"/>
    <cellStyle name="SAPBEXHLevel2X 6 2" xfId="46460"/>
    <cellStyle name="SAPBEXHLevel2X 6 2 2" xfId="50316"/>
    <cellStyle name="SAPBEXHLevel2X 6 3" xfId="51624"/>
    <cellStyle name="SAPBEXHLevel2X 6 4" xfId="49691"/>
    <cellStyle name="SAPBEXHLevel2X 7" xfId="46461"/>
    <cellStyle name="SAPBEXHLevel2X 7 2" xfId="46462"/>
    <cellStyle name="SAPBEXHLevel2X 7 2 2" xfId="51034"/>
    <cellStyle name="SAPBEXHLevel2X 7 3" xfId="51323"/>
    <cellStyle name="SAPBEXHLevel2X 7 4" xfId="49989"/>
    <cellStyle name="SAPBEXHLevel2X 8" xfId="46463"/>
    <cellStyle name="SAPBEXHLevel2X 8 2" xfId="46464"/>
    <cellStyle name="SAPBEXHLevel2X 8 3" xfId="50697"/>
    <cellStyle name="SAPBEXHLevel2X 9" xfId="46465"/>
    <cellStyle name="SAPBEXHLevel2X 9 2" xfId="46466"/>
    <cellStyle name="SAPBEXHLevel2X 9 3" xfId="50797"/>
    <cellStyle name="SAPBEXHLevel2X_0910 GSO Capex RRP - Final (Detail) v2 220710" xfId="46467"/>
    <cellStyle name="SAPBEXHLevel3" xfId="59"/>
    <cellStyle name="SAPBEXHLevel3 10" xfId="46468"/>
    <cellStyle name="SAPBEXHLevel3 10 2" xfId="50937"/>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2 2" xfId="50118"/>
    <cellStyle name="SAPBEXHLevel3 2 2 2 3" xfId="51402"/>
    <cellStyle name="SAPBEXHLevel3 2 2 2 4" xfId="49891"/>
    <cellStyle name="SAPBEXHLevel3 2 2 3" xfId="46491"/>
    <cellStyle name="SAPBEXHLevel3 2 2 3 2" xfId="50476"/>
    <cellStyle name="SAPBEXHLevel3 2 2 4" xfId="51635"/>
    <cellStyle name="SAPBEXHLevel3 2 2 5" xfId="49563"/>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 2 2" xfId="50093"/>
    <cellStyle name="SAPBEXHLevel3 2 3 2 3" xfId="51151"/>
    <cellStyle name="SAPBEXHLevel3 2 3 2 4" xfId="49916"/>
    <cellStyle name="SAPBEXHLevel3 2 3 3" xfId="50451"/>
    <cellStyle name="SAPBEXHLevel3 2 3 4" xfId="51181"/>
    <cellStyle name="SAPBEXHLevel3 2 3 5" xfId="49588"/>
    <cellStyle name="SAPBEXHLevel3 2 30" xfId="46504"/>
    <cellStyle name="SAPBEXHLevel3 2 31" xfId="46505"/>
    <cellStyle name="SAPBEXHLevel3 2 32" xfId="46506"/>
    <cellStyle name="SAPBEXHLevel3 2 33" xfId="49319"/>
    <cellStyle name="SAPBEXHLevel3 2 4" xfId="46507"/>
    <cellStyle name="SAPBEXHLevel3 2 4 2" xfId="46508"/>
    <cellStyle name="SAPBEXHLevel3 2 4 2 2" xfId="50279"/>
    <cellStyle name="SAPBEXHLevel3 2 4 3" xfId="50935"/>
    <cellStyle name="SAPBEXHLevel3 2 4 4" xfId="49702"/>
    <cellStyle name="SAPBEXHLevel3 2 5" xfId="46509"/>
    <cellStyle name="SAPBEXHLevel3 2 5 2" xfId="46510"/>
    <cellStyle name="SAPBEXHLevel3 2 5 2 2" xfId="51095"/>
    <cellStyle name="SAPBEXHLevel3 2 5 3" xfId="51131"/>
    <cellStyle name="SAPBEXHLevel3 2 5 4" xfId="50051"/>
    <cellStyle name="SAPBEXHLevel3 2 6" xfId="46511"/>
    <cellStyle name="SAPBEXHLevel3 2 6 2" xfId="46512"/>
    <cellStyle name="SAPBEXHLevel3 2 6 3" xfId="50686"/>
    <cellStyle name="SAPBEXHLevel3 2 7" xfId="46513"/>
    <cellStyle name="SAPBEXHLevel3 2 7 2" xfId="46514"/>
    <cellStyle name="SAPBEXHLevel3 2 7 3" xfId="50839"/>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2 2" xfId="50119"/>
    <cellStyle name="SAPBEXHLevel3 3 2 3" xfId="51572"/>
    <cellStyle name="SAPBEXHLevel3 3 2 4" xfId="49890"/>
    <cellStyle name="SAPBEXHLevel3 3 3" xfId="46530"/>
    <cellStyle name="SAPBEXHLevel3 3 3 2" xfId="50477"/>
    <cellStyle name="SAPBEXHLevel3 3 4" xfId="51363"/>
    <cellStyle name="SAPBEXHLevel3 3 5" xfId="49562"/>
    <cellStyle name="SAPBEXHLevel3 30" xfId="46531"/>
    <cellStyle name="SAPBEXHLevel3 31" xfId="46532"/>
    <cellStyle name="SAPBEXHLevel3 32" xfId="46533"/>
    <cellStyle name="SAPBEXHLevel3 33" xfId="46534"/>
    <cellStyle name="SAPBEXHLevel3 34" xfId="49318"/>
    <cellStyle name="SAPBEXHLevel3 4" xfId="46535"/>
    <cellStyle name="SAPBEXHLevel3 4 2" xfId="46536"/>
    <cellStyle name="SAPBEXHLevel3 4 2 2" xfId="50268"/>
    <cellStyle name="SAPBEXHLevel3 4 2 3" xfId="51170"/>
    <cellStyle name="SAPBEXHLevel3 4 2 4" xfId="49729"/>
    <cellStyle name="SAPBEXHLevel3 4 3" xfId="50637"/>
    <cellStyle name="SAPBEXHLevel3 4 4" xfId="51206"/>
    <cellStyle name="SAPBEXHLevel3 4 5" xfId="49401"/>
    <cellStyle name="SAPBEXHLevel3 5" xfId="46537"/>
    <cellStyle name="SAPBEXHLevel3 5 2" xfId="46538"/>
    <cellStyle name="SAPBEXHLevel3 5 2 2" xfId="50994"/>
    <cellStyle name="SAPBEXHLevel3 5 2 3" xfId="51112"/>
    <cellStyle name="SAPBEXHLevel3 5 2 4" xfId="49949"/>
    <cellStyle name="SAPBEXHLevel3 5 3" xfId="50055"/>
    <cellStyle name="SAPBEXHLevel3 5 4" xfId="51133"/>
    <cellStyle name="SAPBEXHLevel3 5 5" xfId="49621"/>
    <cellStyle name="SAPBEXHLevel3 6" xfId="46539"/>
    <cellStyle name="SAPBEXHLevel3 6 2" xfId="46540"/>
    <cellStyle name="SAPBEXHLevel3 6 2 2" xfId="50280"/>
    <cellStyle name="SAPBEXHLevel3 6 3" xfId="50875"/>
    <cellStyle name="SAPBEXHLevel3 6 4" xfId="49701"/>
    <cellStyle name="SAPBEXHLevel3 7" xfId="46541"/>
    <cellStyle name="SAPBEXHLevel3 7 2" xfId="46542"/>
    <cellStyle name="SAPBEXHLevel3 7 2 2" xfId="51097"/>
    <cellStyle name="SAPBEXHLevel3 7 3" xfId="51670"/>
    <cellStyle name="SAPBEXHLevel3 7 4" xfId="50053"/>
    <cellStyle name="SAPBEXHLevel3 8" xfId="46543"/>
    <cellStyle name="SAPBEXHLevel3 8 2" xfId="46544"/>
    <cellStyle name="SAPBEXHLevel3 8 3" xfId="50687"/>
    <cellStyle name="SAPBEXHLevel3 9" xfId="46545"/>
    <cellStyle name="SAPBEXHLevel3 9 2" xfId="46546"/>
    <cellStyle name="SAPBEXHLevel3 9 3" xfId="50845"/>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2 2" xfId="50116"/>
    <cellStyle name="SAPBEXHLevel3X 2 2 2 3" xfId="51098"/>
    <cellStyle name="SAPBEXHLevel3X 2 2 2 4" xfId="49893"/>
    <cellStyle name="SAPBEXHLevel3X 2 2 3" xfId="46571"/>
    <cellStyle name="SAPBEXHLevel3X 2 2 3 2" xfId="50474"/>
    <cellStyle name="SAPBEXHLevel3X 2 2 4" xfId="51246"/>
    <cellStyle name="SAPBEXHLevel3X 2 2 5" xfId="49565"/>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 2 2" xfId="50085"/>
    <cellStyle name="SAPBEXHLevel3X 2 3 2 3" xfId="51147"/>
    <cellStyle name="SAPBEXHLevel3X 2 3 2 4" xfId="49927"/>
    <cellStyle name="SAPBEXHLevel3X 2 3 3" xfId="50440"/>
    <cellStyle name="SAPBEXHLevel3X 2 3 4" xfId="51640"/>
    <cellStyle name="SAPBEXHLevel3X 2 3 5" xfId="49599"/>
    <cellStyle name="SAPBEXHLevel3X 2 30" xfId="46584"/>
    <cellStyle name="SAPBEXHLevel3X 2 31" xfId="46585"/>
    <cellStyle name="SAPBEXHLevel3X 2 32" xfId="46586"/>
    <cellStyle name="SAPBEXHLevel3X 2 33" xfId="49321"/>
    <cellStyle name="SAPBEXHLevel3X 2 4" xfId="46587"/>
    <cellStyle name="SAPBEXHLevel3X 2 4 2" xfId="46588"/>
    <cellStyle name="SAPBEXHLevel3X 2 4 2 2" xfId="50277"/>
    <cellStyle name="SAPBEXHLevel3X 2 4 3" xfId="50853"/>
    <cellStyle name="SAPBEXHLevel3X 2 4 4" xfId="49704"/>
    <cellStyle name="SAPBEXHLevel3X 2 5" xfId="46589"/>
    <cellStyle name="SAPBEXHLevel3X 2 5 2" xfId="46590"/>
    <cellStyle name="SAPBEXHLevel3X 2 5 2 2" xfId="51028"/>
    <cellStyle name="SAPBEXHLevel3X 2 5 3" xfId="51588"/>
    <cellStyle name="SAPBEXHLevel3X 2 5 4" xfId="49983"/>
    <cellStyle name="SAPBEXHLevel3X 2 6" xfId="46591"/>
    <cellStyle name="SAPBEXHLevel3X 2 6 2" xfId="46592"/>
    <cellStyle name="SAPBEXHLevel3X 2 6 3" xfId="50684"/>
    <cellStyle name="SAPBEXHLevel3X 2 7" xfId="46593"/>
    <cellStyle name="SAPBEXHLevel3X 2 7 2" xfId="46594"/>
    <cellStyle name="SAPBEXHLevel3X 2 7 3" xfId="51142"/>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10" xfId="49600"/>
    <cellStyle name="SAPBEXHLevel3X 3 10 2" xfId="49928"/>
    <cellStyle name="SAPBEXHLevel3X 3 10 2 2" xfId="50084"/>
    <cellStyle name="SAPBEXHLevel3X 3 10 2 3" xfId="51109"/>
    <cellStyle name="SAPBEXHLevel3X 3 10 3" xfId="50439"/>
    <cellStyle name="SAPBEXHLevel3X 3 10 4" xfId="50874"/>
    <cellStyle name="SAPBEXHLevel3X 3 11" xfId="49705"/>
    <cellStyle name="SAPBEXHLevel3X 3 11 2" xfId="50276"/>
    <cellStyle name="SAPBEXHLevel3X 3 11 3" xfId="51518"/>
    <cellStyle name="SAPBEXHLevel3X 3 12" xfId="49982"/>
    <cellStyle name="SAPBEXHLevel3X 3 12 2" xfId="51027"/>
    <cellStyle name="SAPBEXHLevel3X 3 12 3" xfId="51333"/>
    <cellStyle name="SAPBEXHLevel3X 3 13" xfId="50683"/>
    <cellStyle name="SAPBEXHLevel3X 3 14" xfId="50838"/>
    <cellStyle name="SAPBEXHLevel3X 3 15" xfId="49322"/>
    <cellStyle name="SAPBEXHLevel3X 3 2" xfId="46609"/>
    <cellStyle name="SAPBEXHLevel3X 3 2 2" xfId="49567"/>
    <cellStyle name="SAPBEXHLevel3X 3 2 2 2" xfId="49895"/>
    <cellStyle name="SAPBEXHLevel3X 3 2 2 2 2" xfId="50114"/>
    <cellStyle name="SAPBEXHLevel3X 3 2 2 2 3" xfId="51542"/>
    <cellStyle name="SAPBEXHLevel3X 3 2 2 3" xfId="50472"/>
    <cellStyle name="SAPBEXHLevel3X 3 2 2 4" xfId="51184"/>
    <cellStyle name="SAPBEXHLevel3X 3 2 3" xfId="49601"/>
    <cellStyle name="SAPBEXHLevel3X 3 2 3 2" xfId="49929"/>
    <cellStyle name="SAPBEXHLevel3X 3 2 3 2 2" xfId="50083"/>
    <cellStyle name="SAPBEXHLevel3X 3 2 3 2 3" xfId="51110"/>
    <cellStyle name="SAPBEXHLevel3X 3 2 3 3" xfId="50438"/>
    <cellStyle name="SAPBEXHLevel3X 3 2 3 4" xfId="50948"/>
    <cellStyle name="SAPBEXHLevel3X 3 2 4" xfId="49706"/>
    <cellStyle name="SAPBEXHLevel3X 3 2 4 2" xfId="50275"/>
    <cellStyle name="SAPBEXHLevel3X 3 2 4 3" xfId="51171"/>
    <cellStyle name="SAPBEXHLevel3X 3 2 5" xfId="49981"/>
    <cellStyle name="SAPBEXHLevel3X 3 2 5 2" xfId="51026"/>
    <cellStyle name="SAPBEXHLevel3X 3 2 5 3" xfId="51579"/>
    <cellStyle name="SAPBEXHLevel3X 3 2 6" xfId="50682"/>
    <cellStyle name="SAPBEXHLevel3X 3 2 7" xfId="51143"/>
    <cellStyle name="SAPBEXHLevel3X 3 2 8" xfId="49323"/>
    <cellStyle name="SAPBEXHLevel3X 3 3" xfId="46610"/>
    <cellStyle name="SAPBEXHLevel3X 3 3 2" xfId="49568"/>
    <cellStyle name="SAPBEXHLevel3X 3 3 2 2" xfId="49896"/>
    <cellStyle name="SAPBEXHLevel3X 3 3 2 2 2" xfId="50113"/>
    <cellStyle name="SAPBEXHLevel3X 3 3 2 2 3" xfId="51316"/>
    <cellStyle name="SAPBEXHLevel3X 3 3 2 3" xfId="50471"/>
    <cellStyle name="SAPBEXHLevel3X 3 3 2 4" xfId="51442"/>
    <cellStyle name="SAPBEXHLevel3X 3 3 3" xfId="49602"/>
    <cellStyle name="SAPBEXHLevel3X 3 3 3 2" xfId="49930"/>
    <cellStyle name="SAPBEXHLevel3X 3 3 3 2 2" xfId="50082"/>
    <cellStyle name="SAPBEXHLevel3X 3 3 3 2 3" xfId="51286"/>
    <cellStyle name="SAPBEXHLevel3X 3 3 3 3" xfId="50437"/>
    <cellStyle name="SAPBEXHLevel3X 3 3 3 4" xfId="51251"/>
    <cellStyle name="SAPBEXHLevel3X 3 3 4" xfId="49707"/>
    <cellStyle name="SAPBEXHLevel3X 3 3 4 2" xfId="50274"/>
    <cellStyle name="SAPBEXHLevel3X 3 3 4 3" xfId="51430"/>
    <cellStyle name="SAPBEXHLevel3X 3 3 5" xfId="49980"/>
    <cellStyle name="SAPBEXHLevel3X 3 3 5 2" xfId="51025"/>
    <cellStyle name="SAPBEXHLevel3X 3 3 5 3" xfId="51322"/>
    <cellStyle name="SAPBEXHLevel3X 3 3 6" xfId="50681"/>
    <cellStyle name="SAPBEXHLevel3X 3 3 7" xfId="50801"/>
    <cellStyle name="SAPBEXHLevel3X 3 3 8" xfId="49324"/>
    <cellStyle name="SAPBEXHLevel3X 3 4" xfId="49325"/>
    <cellStyle name="SAPBEXHLevel3X 3 4 2" xfId="49569"/>
    <cellStyle name="SAPBEXHLevel3X 3 4 2 2" xfId="49897"/>
    <cellStyle name="SAPBEXHLevel3X 3 4 2 2 2" xfId="50112"/>
    <cellStyle name="SAPBEXHLevel3X 3 4 2 2 3" xfId="51573"/>
    <cellStyle name="SAPBEXHLevel3X 3 4 2 3" xfId="50470"/>
    <cellStyle name="SAPBEXHLevel3X 3 4 2 4" xfId="51364"/>
    <cellStyle name="SAPBEXHLevel3X 3 4 3" xfId="49603"/>
    <cellStyle name="SAPBEXHLevel3X 3 4 3 2" xfId="49931"/>
    <cellStyle name="SAPBEXHLevel3X 3 4 3 2 2" xfId="50081"/>
    <cellStyle name="SAPBEXHLevel3X 3 4 3 2 3" xfId="51544"/>
    <cellStyle name="SAPBEXHLevel3X 3 4 3 3" xfId="50060"/>
    <cellStyle name="SAPBEXHLevel3X 3 4 3 4" xfId="51508"/>
    <cellStyle name="SAPBEXHLevel3X 3 4 4" xfId="49708"/>
    <cellStyle name="SAPBEXHLevel3X 3 4 4 2" xfId="50273"/>
    <cellStyle name="SAPBEXHLevel3X 3 4 4 3" xfId="51379"/>
    <cellStyle name="SAPBEXHLevel3X 3 4 5" xfId="49979"/>
    <cellStyle name="SAPBEXHLevel3X 3 4 5 2" xfId="51024"/>
    <cellStyle name="SAPBEXHLevel3X 3 4 5 3" xfId="51549"/>
    <cellStyle name="SAPBEXHLevel3X 3 4 6" xfId="50680"/>
    <cellStyle name="SAPBEXHLevel3X 3 4 7" xfId="50870"/>
    <cellStyle name="SAPBEXHLevel3X 3 5" xfId="49326"/>
    <cellStyle name="SAPBEXHLevel3X 3 5 2" xfId="49570"/>
    <cellStyle name="SAPBEXHLevel3X 3 5 2 2" xfId="49898"/>
    <cellStyle name="SAPBEXHLevel3X 3 5 2 2 2" xfId="50111"/>
    <cellStyle name="SAPBEXHLevel3X 3 5 2 2 3" xfId="51403"/>
    <cellStyle name="SAPBEXHLevel3X 3 5 2 3" xfId="50469"/>
    <cellStyle name="SAPBEXHLevel3X 3 5 2 4" xfId="51596"/>
    <cellStyle name="SAPBEXHLevel3X 3 5 3" xfId="49604"/>
    <cellStyle name="SAPBEXHLevel3X 3 5 3 2" xfId="49932"/>
    <cellStyle name="SAPBEXHLevel3X 3 5 3 2 2" xfId="50080"/>
    <cellStyle name="SAPBEXHLevel3X 3 5 3 2 3" xfId="51317"/>
    <cellStyle name="SAPBEXHLevel3X 3 5 3 3" xfId="50821"/>
    <cellStyle name="SAPBEXHLevel3X 3 5 3 4" xfId="51179"/>
    <cellStyle name="SAPBEXHLevel3X 3 5 4" xfId="49709"/>
    <cellStyle name="SAPBEXHLevel3X 3 5 4 2" xfId="50272"/>
    <cellStyle name="SAPBEXHLevel3X 3 5 4 3" xfId="51623"/>
    <cellStyle name="SAPBEXHLevel3X 3 5 5" xfId="49978"/>
    <cellStyle name="SAPBEXHLevel3X 3 5 5 2" xfId="51023"/>
    <cellStyle name="SAPBEXHLevel3X 3 5 5 3" xfId="51291"/>
    <cellStyle name="SAPBEXHLevel3X 3 5 6" xfId="50679"/>
    <cellStyle name="SAPBEXHLevel3X 3 5 7" xfId="50944"/>
    <cellStyle name="SAPBEXHLevel3X 3 6" xfId="49327"/>
    <cellStyle name="SAPBEXHLevel3X 3 6 2" xfId="49571"/>
    <cellStyle name="SAPBEXHLevel3X 3 6 2 2" xfId="49899"/>
    <cellStyle name="SAPBEXHLevel3X 3 6 2 2 2" xfId="50110"/>
    <cellStyle name="SAPBEXHLevel3X 3 6 2 2 3" xfId="51597"/>
    <cellStyle name="SAPBEXHLevel3X 3 6 2 3" xfId="50468"/>
    <cellStyle name="SAPBEXHLevel3X 3 6 2 4" xfId="50911"/>
    <cellStyle name="SAPBEXHLevel3X 3 6 3" xfId="49605"/>
    <cellStyle name="SAPBEXHLevel3X 3 6 3 2" xfId="49933"/>
    <cellStyle name="SAPBEXHLevel3X 3 6 3 2 2" xfId="50079"/>
    <cellStyle name="SAPBEXHLevel3X 3 6 3 2 3" xfId="51574"/>
    <cellStyle name="SAPBEXHLevel3X 3 6 3 3" xfId="50062"/>
    <cellStyle name="SAPBEXHLevel3X 3 6 3 4" xfId="51437"/>
    <cellStyle name="SAPBEXHLevel3X 3 6 4" xfId="49710"/>
    <cellStyle name="SAPBEXHLevel3X 3 6 4 2" xfId="50271"/>
    <cellStyle name="SAPBEXHLevel3X 3 6 4 3" xfId="51254"/>
    <cellStyle name="SAPBEXHLevel3X 3 6 5" xfId="50045"/>
    <cellStyle name="SAPBEXHLevel3X 3 6 5 2" xfId="51089"/>
    <cellStyle name="SAPBEXHLevel3X 3 6 5 3" xfId="51328"/>
    <cellStyle name="SAPBEXHLevel3X 3 6 6" xfId="50678"/>
    <cellStyle name="SAPBEXHLevel3X 3 6 7" xfId="50884"/>
    <cellStyle name="SAPBEXHLevel3X 3 7" xfId="49328"/>
    <cellStyle name="SAPBEXHLevel3X 3 7 2" xfId="49572"/>
    <cellStyle name="SAPBEXHLevel3X 3 7 2 2" xfId="49900"/>
    <cellStyle name="SAPBEXHLevel3X 3 7 2 2 2" xfId="50109"/>
    <cellStyle name="SAPBEXHLevel3X 3 7 2 2 3" xfId="51277"/>
    <cellStyle name="SAPBEXHLevel3X 3 7 2 3" xfId="50467"/>
    <cellStyle name="SAPBEXHLevel3X 3 7 2 4" xfId="51247"/>
    <cellStyle name="SAPBEXHLevel3X 3 7 3" xfId="49606"/>
    <cellStyle name="SAPBEXHLevel3X 3 7 3 2" xfId="49934"/>
    <cellStyle name="SAPBEXHLevel3X 3 7 3 2 2" xfId="50078"/>
    <cellStyle name="SAPBEXHLevel3X 3 7 3 2 3" xfId="51404"/>
    <cellStyle name="SAPBEXHLevel3X 3 7 3 3" xfId="50830"/>
    <cellStyle name="SAPBEXHLevel3X 3 7 3 4" xfId="51369"/>
    <cellStyle name="SAPBEXHLevel3X 3 7 4" xfId="49711"/>
    <cellStyle name="SAPBEXHLevel3X 3 7 4 2" xfId="50270"/>
    <cellStyle name="SAPBEXHLevel3X 3 7 4 3" xfId="51511"/>
    <cellStyle name="SAPBEXHLevel3X 3 7 5" xfId="49977"/>
    <cellStyle name="SAPBEXHLevel3X 3 7 5 2" xfId="51022"/>
    <cellStyle name="SAPBEXHLevel3X 3 7 5 3" xfId="51116"/>
    <cellStyle name="SAPBEXHLevel3X 3 7 6" xfId="50677"/>
    <cellStyle name="SAPBEXHLevel3X 3 7 7" xfId="50955"/>
    <cellStyle name="SAPBEXHLevel3X 3 8" xfId="49329"/>
    <cellStyle name="SAPBEXHLevel3X 3 8 2" xfId="49573"/>
    <cellStyle name="SAPBEXHLevel3X 3 8 2 2" xfId="49901"/>
    <cellStyle name="SAPBEXHLevel3X 3 8 2 2 2" xfId="50108"/>
    <cellStyle name="SAPBEXHLevel3X 3 8 2 2 3" xfId="51535"/>
    <cellStyle name="SAPBEXHLevel3X 3 8 2 3" xfId="50466"/>
    <cellStyle name="SAPBEXHLevel3X 3 8 2 4" xfId="51504"/>
    <cellStyle name="SAPBEXHLevel3X 3 8 3" xfId="49607"/>
    <cellStyle name="SAPBEXHLevel3X 3 8 3 2" xfId="49935"/>
    <cellStyle name="SAPBEXHLevel3X 3 8 3 2 2" xfId="50077"/>
    <cellStyle name="SAPBEXHLevel3X 3 8 3 2 3" xfId="51663"/>
    <cellStyle name="SAPBEXHLevel3X 3 8 3 3" xfId="50820"/>
    <cellStyle name="SAPBEXHLevel3X 3 8 3 4" xfId="51631"/>
    <cellStyle name="SAPBEXHLevel3X 3 8 4" xfId="49712"/>
    <cellStyle name="SAPBEXHLevel3X 3 8 4 2" xfId="50988"/>
    <cellStyle name="SAPBEXHLevel3X 3 8 4 3" xfId="51252"/>
    <cellStyle name="SAPBEXHLevel3X 3 8 5" xfId="49964"/>
    <cellStyle name="SAPBEXHLevel3X 3 8 5 2" xfId="51009"/>
    <cellStyle name="SAPBEXHLevel3X 3 8 5 3" xfId="51320"/>
    <cellStyle name="SAPBEXHLevel3X 3 8 6" xfId="50676"/>
    <cellStyle name="SAPBEXHLevel3X 3 8 7" xfId="50641"/>
    <cellStyle name="SAPBEXHLevel3X 3 9" xfId="49566"/>
    <cellStyle name="SAPBEXHLevel3X 3 9 2" xfId="49894"/>
    <cellStyle name="SAPBEXHLevel3X 3 9 2 2" xfId="50115"/>
    <cellStyle name="SAPBEXHLevel3X 3 9 2 3" xfId="51284"/>
    <cellStyle name="SAPBEXHLevel3X 3 9 3" xfId="50473"/>
    <cellStyle name="SAPBEXHLevel3X 3 9 4" xfId="51503"/>
    <cellStyle name="SAPBEXHLevel3X 30" xfId="46611"/>
    <cellStyle name="SAPBEXHLevel3X 31" xfId="46612"/>
    <cellStyle name="SAPBEXHLevel3X 32" xfId="46613"/>
    <cellStyle name="SAPBEXHLevel3X 33" xfId="46614"/>
    <cellStyle name="SAPBEXHLevel3X 34" xfId="49320"/>
    <cellStyle name="SAPBEXHLevel3X 4" xfId="46615"/>
    <cellStyle name="SAPBEXHLevel3X 4 2" xfId="46616"/>
    <cellStyle name="SAPBEXHLevel3X 4 2 2" xfId="50117"/>
    <cellStyle name="SAPBEXHLevel3X 4 2 3" xfId="51609"/>
    <cellStyle name="SAPBEXHLevel3X 4 2 4" xfId="49892"/>
    <cellStyle name="SAPBEXHLevel3X 4 3" xfId="50475"/>
    <cellStyle name="SAPBEXHLevel3X 4 4" xfId="50959"/>
    <cellStyle name="SAPBEXHLevel3X 4 5" xfId="49564"/>
    <cellStyle name="SAPBEXHLevel3X 5" xfId="46617"/>
    <cellStyle name="SAPBEXHLevel3X 5 2" xfId="46618"/>
    <cellStyle name="SAPBEXHLevel3X 5 2 2" xfId="50856"/>
    <cellStyle name="SAPBEXHLevel3X 5 2 3" xfId="51519"/>
    <cellStyle name="SAPBEXHLevel3X 5 2 4" xfId="49728"/>
    <cellStyle name="SAPBEXHLevel3X 5 3" xfId="50638"/>
    <cellStyle name="SAPBEXHLevel3X 5 4" xfId="51481"/>
    <cellStyle name="SAPBEXHLevel3X 5 5" xfId="49400"/>
    <cellStyle name="SAPBEXHLevel3X 6" xfId="46619"/>
    <cellStyle name="SAPBEXHLevel3X 6 2" xfId="46620"/>
    <cellStyle name="SAPBEXHLevel3X 6 2 2" xfId="50278"/>
    <cellStyle name="SAPBEXHLevel3X 6 3" xfId="51261"/>
    <cellStyle name="SAPBEXHLevel3X 6 4" xfId="49703"/>
    <cellStyle name="SAPBEXHLevel3X 7" xfId="46621"/>
    <cellStyle name="SAPBEXHLevel3X 7 2" xfId="46622"/>
    <cellStyle name="SAPBEXHLevel3X 7 2 2" xfId="51094"/>
    <cellStyle name="SAPBEXHLevel3X 7 3" xfId="50984"/>
    <cellStyle name="SAPBEXHLevel3X 7 4" xfId="50050"/>
    <cellStyle name="SAPBEXHLevel3X 8" xfId="46623"/>
    <cellStyle name="SAPBEXHLevel3X 8 2" xfId="46624"/>
    <cellStyle name="SAPBEXHLevel3X 8 3" xfId="50685"/>
    <cellStyle name="SAPBEXHLevel3X 9" xfId="46625"/>
    <cellStyle name="SAPBEXHLevel3X 9 2" xfId="46626"/>
    <cellStyle name="SAPBEXHLevel3X 9 3" xfId="50660"/>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19" xfId="4933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18" xfId="4933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14" xfId="49333"/>
    <cellStyle name="SAPBEXinputData 3 2 2" xfId="46872"/>
    <cellStyle name="SAPBEXinputData 3 2 2 2" xfId="46873"/>
    <cellStyle name="SAPBEXinputData 3 2 2 3" xfId="46874"/>
    <cellStyle name="SAPBEXinputData 3 2 2 4" xfId="49388"/>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2 2" xfId="49389"/>
    <cellStyle name="SAPBEXinputData 3 3 3" xfId="46900"/>
    <cellStyle name="SAPBEXinputData 3 3 4" xfId="49334"/>
    <cellStyle name="SAPBEXinputData 3 30" xfId="46901"/>
    <cellStyle name="SAPBEXinputData 3 31" xfId="49332"/>
    <cellStyle name="SAPBEXinputData 3 4" xfId="46902"/>
    <cellStyle name="SAPBEXinputData 3 4 2" xfId="46903"/>
    <cellStyle name="SAPBEXinputData 3 4 2 2" xfId="49390"/>
    <cellStyle name="SAPBEXinputData 3 4 3" xfId="49335"/>
    <cellStyle name="SAPBEXinputData 3 5" xfId="46904"/>
    <cellStyle name="SAPBEXinputData 3 5 2" xfId="46905"/>
    <cellStyle name="SAPBEXinputData 3 5 2 2" xfId="49391"/>
    <cellStyle name="SAPBEXinputData 3 5 3" xfId="49336"/>
    <cellStyle name="SAPBEXinputData 3 6" xfId="46906"/>
    <cellStyle name="SAPBEXinputData 3 6 2" xfId="46907"/>
    <cellStyle name="SAPBEXinputData 3 6 2 2" xfId="49392"/>
    <cellStyle name="SAPBEXinputData 3 6 3" xfId="49337"/>
    <cellStyle name="SAPBEXinputData 3 7" xfId="46908"/>
    <cellStyle name="SAPBEXinputData 3 7 2" xfId="46909"/>
    <cellStyle name="SAPBEXinputData 3 7 2 2" xfId="49393"/>
    <cellStyle name="SAPBEXinputData 3 7 3" xfId="49338"/>
    <cellStyle name="SAPBEXinputData 3 8" xfId="46910"/>
    <cellStyle name="SAPBEXinputData 3 8 2" xfId="46911"/>
    <cellStyle name="SAPBEXinputData 3 8 2 2" xfId="49394"/>
    <cellStyle name="SAPBEXinputData 3 8 3" xfId="49339"/>
    <cellStyle name="SAPBEXinputData 3 9" xfId="46912"/>
    <cellStyle name="SAPBEXinputData 3 9 2" xfId="46913"/>
    <cellStyle name="SAPBEXinputData 3 9 3" xfId="49387"/>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31" xfId="49386"/>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2 2" xfId="50106"/>
    <cellStyle name="SAPBEXItemHeader 2 2 3" xfId="51533"/>
    <cellStyle name="SAPBEXItemHeader 2 2 4" xfId="49903"/>
    <cellStyle name="SAPBEXItemHeader 2 3" xfId="47072"/>
    <cellStyle name="SAPBEXItemHeader 2 3 2" xfId="50464"/>
    <cellStyle name="SAPBEXItemHeader 2 4" xfId="51441"/>
    <cellStyle name="SAPBEXItemHeader 2 5" xfId="49575"/>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 2" xfId="49936"/>
    <cellStyle name="SAPBEXItemHeader 3 2 2" xfId="50076"/>
    <cellStyle name="SAPBEXItemHeader 3 2 3" xfId="50787"/>
    <cellStyle name="SAPBEXItemHeader 3 3" xfId="50064"/>
    <cellStyle name="SAPBEXItemHeader 3 4" xfId="51250"/>
    <cellStyle name="SAPBEXItemHeader 3 5" xfId="49608"/>
    <cellStyle name="SAPBEXItemHeader 30" xfId="47084"/>
    <cellStyle name="SAPBEXItemHeader 31" xfId="47085"/>
    <cellStyle name="SAPBEXItemHeader 32" xfId="47086"/>
    <cellStyle name="SAPBEXItemHeader 33" xfId="49340"/>
    <cellStyle name="SAPBEXItemHeader 4" xfId="47087"/>
    <cellStyle name="SAPBEXItemHeader 4 2" xfId="50899"/>
    <cellStyle name="SAPBEXItemHeader 4 3" xfId="51509"/>
    <cellStyle name="SAPBEXItemHeader 4 4" xfId="49713"/>
    <cellStyle name="SAPBEXItemHeader 5" xfId="47088"/>
    <cellStyle name="SAPBEXItemHeader 5 2" xfId="51092"/>
    <cellStyle name="SAPBEXItemHeader 5 3" xfId="51415"/>
    <cellStyle name="SAPBEXItemHeader 5 4" xfId="50048"/>
    <cellStyle name="SAPBEXItemHeader 6" xfId="47089"/>
    <cellStyle name="SAPBEXItemHeader 6 2" xfId="50674"/>
    <cellStyle name="SAPBEXItemHeader 7" xfId="47090"/>
    <cellStyle name="SAPBEXItemHeader 7 2" xfId="50908"/>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2 2" xfId="50105"/>
    <cellStyle name="SAPBEXresData 2 2 3" xfId="51158"/>
    <cellStyle name="SAPBEXresData 2 2 4" xfId="49904"/>
    <cellStyle name="SAPBEXresData 2 3" xfId="47105"/>
    <cellStyle name="SAPBEXresData 2 3 2" xfId="50463"/>
    <cellStyle name="SAPBEXresData 2 4" xfId="51365"/>
    <cellStyle name="SAPBEXresData 2 5" xfId="49576"/>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 2" xfId="49937"/>
    <cellStyle name="SAPBEXresData 3 2 2" xfId="50075"/>
    <cellStyle name="SAPBEXresData 3 2 3" xfId="50864"/>
    <cellStyle name="SAPBEXresData 3 3" xfId="50436"/>
    <cellStyle name="SAPBEXresData 3 4" xfId="51507"/>
    <cellStyle name="SAPBEXresData 3 5" xfId="49609"/>
    <cellStyle name="SAPBEXresData 30" xfId="47117"/>
    <cellStyle name="SAPBEXresData 31" xfId="47118"/>
    <cellStyle name="SAPBEXresData 32" xfId="47119"/>
    <cellStyle name="SAPBEXresData 33" xfId="49341"/>
    <cellStyle name="SAPBEXresData 4" xfId="47120"/>
    <cellStyle name="SAPBEXresData 4 2" xfId="50963"/>
    <cellStyle name="SAPBEXresData 4 3" xfId="51178"/>
    <cellStyle name="SAPBEXresData 4 4" xfId="49714"/>
    <cellStyle name="SAPBEXresData 5" xfId="47121"/>
    <cellStyle name="SAPBEXresData 5 2" xfId="51004"/>
    <cellStyle name="SAPBEXresData 5 3" xfId="51114"/>
    <cellStyle name="SAPBEXresData 5 4" xfId="49959"/>
    <cellStyle name="SAPBEXresData 6" xfId="47122"/>
    <cellStyle name="SAPBEXresData 6 2" xfId="50673"/>
    <cellStyle name="SAPBEXresData 7" xfId="47123"/>
    <cellStyle name="SAPBEXresData 7 2" xfId="51144"/>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33" xfId="49342"/>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2 2" xfId="50104"/>
    <cellStyle name="SAPBEXresItem 2 2 3" xfId="51418"/>
    <cellStyle name="SAPBEXresItem 2 2 4" xfId="49905"/>
    <cellStyle name="SAPBEXresItem 2 3" xfId="47173"/>
    <cellStyle name="SAPBEXresItem 2 3 2" xfId="50462"/>
    <cellStyle name="SAPBEXresItem 2 4" xfId="51634"/>
    <cellStyle name="SAPBEXresItem 2 5" xfId="49577"/>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 2" xfId="49938"/>
    <cellStyle name="SAPBEXresItem 3 2 2" xfId="50824"/>
    <cellStyle name="SAPBEXresItem 3 2 3" xfId="50985"/>
    <cellStyle name="SAPBEXresItem 3 3" xfId="50435"/>
    <cellStyle name="SAPBEXresItem 3 4" xfId="51180"/>
    <cellStyle name="SAPBEXresItem 3 5" xfId="49610"/>
    <cellStyle name="SAPBEXresItem 30" xfId="47185"/>
    <cellStyle name="SAPBEXresItem 31" xfId="47186"/>
    <cellStyle name="SAPBEXresItem 32" xfId="47187"/>
    <cellStyle name="SAPBEXresItem 33" xfId="49343"/>
    <cellStyle name="SAPBEXresItem 4" xfId="47188"/>
    <cellStyle name="SAPBEXresItem 4 2" xfId="50892"/>
    <cellStyle name="SAPBEXresItem 4 3" xfId="50920"/>
    <cellStyle name="SAPBEXresItem 4 4" xfId="49715"/>
    <cellStyle name="SAPBEXresItem 5" xfId="47189"/>
    <cellStyle name="SAPBEXresItem 5 2" xfId="51003"/>
    <cellStyle name="SAPBEXresItem 5 3" xfId="51592"/>
    <cellStyle name="SAPBEXresItem 5 4" xfId="49958"/>
    <cellStyle name="SAPBEXresItem 6" xfId="47190"/>
    <cellStyle name="SAPBEXresItem 6 2" xfId="50672"/>
    <cellStyle name="SAPBEXresItem 7" xfId="47191"/>
    <cellStyle name="SAPBEXresItem 7 2" xfId="50639"/>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2 2" xfId="50103"/>
    <cellStyle name="SAPBEXresItemX 2 2 3" xfId="51394"/>
    <cellStyle name="SAPBEXresItemX 2 2 4" xfId="49906"/>
    <cellStyle name="SAPBEXresItemX 2 3" xfId="47207"/>
    <cellStyle name="SAPBEXresItemX 2 3 2" xfId="50461"/>
    <cellStyle name="SAPBEXresItemX 2 4" xfId="50975"/>
    <cellStyle name="SAPBEXresItemX 2 5" xfId="49578"/>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 2" xfId="49939"/>
    <cellStyle name="SAPBEXresItemX 3 2 2" xfId="50074"/>
    <cellStyle name="SAPBEXresItemX 3 2 3" xfId="50934"/>
    <cellStyle name="SAPBEXresItemX 3 3" xfId="50434"/>
    <cellStyle name="SAPBEXresItemX 3 4" xfId="51438"/>
    <cellStyle name="SAPBEXresItemX 3 5" xfId="49611"/>
    <cellStyle name="SAPBEXresItemX 30" xfId="47219"/>
    <cellStyle name="SAPBEXresItemX 31" xfId="47220"/>
    <cellStyle name="SAPBEXresItemX 32" xfId="47221"/>
    <cellStyle name="SAPBEXresItemX 33" xfId="49344"/>
    <cellStyle name="SAPBEXresItemX 4" xfId="47222"/>
    <cellStyle name="SAPBEXresItemX 4 2" xfId="50950"/>
    <cellStyle name="SAPBEXresItemX 4 3" xfId="51436"/>
    <cellStyle name="SAPBEXresItemX 4 4" xfId="49716"/>
    <cellStyle name="SAPBEXresItemX 5" xfId="47223"/>
    <cellStyle name="SAPBEXresItemX 5 2" xfId="51021"/>
    <cellStyle name="SAPBEXresItemX 5 3" xfId="51607"/>
    <cellStyle name="SAPBEXresItemX 5 4" xfId="49976"/>
    <cellStyle name="SAPBEXresItemX 6" xfId="47224"/>
    <cellStyle name="SAPBEXresItemX 6 2" xfId="50671"/>
    <cellStyle name="SAPBEXresItemX 7" xfId="47225"/>
    <cellStyle name="SAPBEXresItemX 7 2" xfId="51157"/>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2 2" xfId="50102"/>
    <cellStyle name="SAPBEXstdData 2 2 3" xfId="51665"/>
    <cellStyle name="SAPBEXstdData 2 2 4" xfId="49907"/>
    <cellStyle name="SAPBEXstdData 2 3" xfId="47240"/>
    <cellStyle name="SAPBEXstdData 2 3 2" xfId="50460"/>
    <cellStyle name="SAPBEXstdData 2 4" xfId="51248"/>
    <cellStyle name="SAPBEXstdData 2 5" xfId="49579"/>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 2" xfId="49940"/>
    <cellStyle name="SAPBEXstdData 3 2 2" xfId="50073"/>
    <cellStyle name="SAPBEXstdData 3 2 3" xfId="50930"/>
    <cellStyle name="SAPBEXstdData 3 3" xfId="50433"/>
    <cellStyle name="SAPBEXstdData 3 4" xfId="51305"/>
    <cellStyle name="SAPBEXstdData 3 5" xfId="49612"/>
    <cellStyle name="SAPBEXstdData 30" xfId="47252"/>
    <cellStyle name="SAPBEXstdData 31" xfId="47253"/>
    <cellStyle name="SAPBEXstdData 32" xfId="47254"/>
    <cellStyle name="SAPBEXstdData 33" xfId="49345"/>
    <cellStyle name="SAPBEXstdData 4" xfId="47255"/>
    <cellStyle name="SAPBEXstdData 4 2" xfId="49953"/>
    <cellStyle name="SAPBEXstdData 4 2 2" xfId="50998"/>
    <cellStyle name="SAPBEXstdData 4 2 3" xfId="51288"/>
    <cellStyle name="SAPBEXstdData 4 3" xfId="50425"/>
    <cellStyle name="SAPBEXstdData 4 4" xfId="51510"/>
    <cellStyle name="SAPBEXstdData 4 5" xfId="49625"/>
    <cellStyle name="SAPBEXstdData 5" xfId="47256"/>
    <cellStyle name="SAPBEXstdData 5 2" xfId="50877"/>
    <cellStyle name="SAPBEXstdData 5 3" xfId="51370"/>
    <cellStyle name="SAPBEXstdData 5 4" xfId="49717"/>
    <cellStyle name="SAPBEXstdData 6" xfId="47257"/>
    <cellStyle name="SAPBEXstdData 6 2" xfId="51020"/>
    <cellStyle name="SAPBEXstdData 6 3" xfId="51408"/>
    <cellStyle name="SAPBEXstdData 6 4" xfId="49975"/>
    <cellStyle name="SAPBEXstdData 7" xfId="47258"/>
    <cellStyle name="SAPBEXstdData 7 2" xfId="50670"/>
    <cellStyle name="SAPBEXstdData 8" xfId="47259"/>
    <cellStyle name="SAPBEXstdData 8 2" xfId="50915"/>
    <cellStyle name="SAPBEXstdData 9" xfId="47260"/>
    <cellStyle name="SAPBEXstdData 9 2" xfId="50868"/>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2 2" xfId="50101"/>
    <cellStyle name="SAPBEXstdDataEmph 2 2 3" xfId="51099"/>
    <cellStyle name="SAPBEXstdDataEmph 2 2 4" xfId="49908"/>
    <cellStyle name="SAPBEXstdDataEmph 2 3" xfId="47274"/>
    <cellStyle name="SAPBEXstdDataEmph 2 3 2" xfId="50459"/>
    <cellStyle name="SAPBEXstdDataEmph 2 4" xfId="51505"/>
    <cellStyle name="SAPBEXstdDataEmph 2 5" xfId="49580"/>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 2" xfId="49941"/>
    <cellStyle name="SAPBEXstdDataEmph 3 2 2" xfId="50072"/>
    <cellStyle name="SAPBEXstdDataEmph 3 2 3" xfId="50854"/>
    <cellStyle name="SAPBEXstdDataEmph 3 3" xfId="50432"/>
    <cellStyle name="SAPBEXstdDataEmph 3 4" xfId="51562"/>
    <cellStyle name="SAPBEXstdDataEmph 3 5" xfId="49613"/>
    <cellStyle name="SAPBEXstdDataEmph 30" xfId="47286"/>
    <cellStyle name="SAPBEXstdDataEmph 31" xfId="47287"/>
    <cellStyle name="SAPBEXstdDataEmph 32" xfId="47288"/>
    <cellStyle name="SAPBEXstdDataEmph 33" xfId="49346"/>
    <cellStyle name="SAPBEXstdDataEmph 4" xfId="47289"/>
    <cellStyle name="SAPBEXstdDataEmph 4 2" xfId="49954"/>
    <cellStyle name="SAPBEXstdDataEmph 4 2 2" xfId="50999"/>
    <cellStyle name="SAPBEXstdDataEmph 4 2 3" xfId="51546"/>
    <cellStyle name="SAPBEXstdDataEmph 4 3" xfId="50986"/>
    <cellStyle name="SAPBEXstdDataEmph 4 4" xfId="51177"/>
    <cellStyle name="SAPBEXstdDataEmph 4 5" xfId="49626"/>
    <cellStyle name="SAPBEXstdDataEmph 5" xfId="47290"/>
    <cellStyle name="SAPBEXstdDataEmph 5 2" xfId="50922"/>
    <cellStyle name="SAPBEXstdDataEmph 5 3" xfId="51630"/>
    <cellStyle name="SAPBEXstdDataEmph 5 4" xfId="49718"/>
    <cellStyle name="SAPBEXstdDataEmph 6" xfId="47291"/>
    <cellStyle name="SAPBEXstdDataEmph 6 2" xfId="51019"/>
    <cellStyle name="SAPBEXstdDataEmph 6 3" xfId="51587"/>
    <cellStyle name="SAPBEXstdDataEmph 6 4" xfId="49974"/>
    <cellStyle name="SAPBEXstdDataEmph 7" xfId="47292"/>
    <cellStyle name="SAPBEXstdDataEmph 7 2" xfId="50669"/>
    <cellStyle name="SAPBEXstdDataEmph 8" xfId="47293"/>
    <cellStyle name="SAPBEXstdDataEmph 8 2" xfId="50969"/>
    <cellStyle name="SAPBEXstdDataEmph 9" xfId="47294"/>
    <cellStyle name="SAPBEXstdDataEmph 9 2" xfId="5167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2 2" xfId="50100"/>
    <cellStyle name="SAPBEXstdItem 2 2 3" xfId="51100"/>
    <cellStyle name="SAPBEXstdItem 2 2 4" xfId="49909"/>
    <cellStyle name="SAPBEXstdItem 2 3" xfId="47308"/>
    <cellStyle name="SAPBEXstdItem 2 3 2" xfId="50458"/>
    <cellStyle name="SAPBEXstdItem 2 4" xfId="51182"/>
    <cellStyle name="SAPBEXstdItem 2 5" xfId="49581"/>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 2" xfId="49942"/>
    <cellStyle name="SAPBEXstdItem 3 2 2" xfId="50823"/>
    <cellStyle name="SAPBEXstdItem 3 2 3" xfId="51111"/>
    <cellStyle name="SAPBEXstdItem 3 3" xfId="50431"/>
    <cellStyle name="SAPBEXstdItem 3 4" xfId="51368"/>
    <cellStyle name="SAPBEXstdItem 3 5" xfId="49614"/>
    <cellStyle name="SAPBEXstdItem 30" xfId="47320"/>
    <cellStyle name="SAPBEXstdItem 31" xfId="47321"/>
    <cellStyle name="SAPBEXstdItem 32" xfId="47322"/>
    <cellStyle name="SAPBEXstdItem 33" xfId="49347"/>
    <cellStyle name="SAPBEXstdItem 4" xfId="47323"/>
    <cellStyle name="SAPBEXstdItem 4 2" xfId="49955"/>
    <cellStyle name="SAPBEXstdItem 4 2 2" xfId="51000"/>
    <cellStyle name="SAPBEXstdItem 4 2 3" xfId="51319"/>
    <cellStyle name="SAPBEXstdItem 4 3" xfId="50901"/>
    <cellStyle name="SAPBEXstdItem 4 4" xfId="51435"/>
    <cellStyle name="SAPBEXstdItem 4 5" xfId="49627"/>
    <cellStyle name="SAPBEXstdItem 5" xfId="47324"/>
    <cellStyle name="SAPBEXstdItem 5 2" xfId="50857"/>
    <cellStyle name="SAPBEXstdItem 5 3" xfId="50889"/>
    <cellStyle name="SAPBEXstdItem 5 4" xfId="49719"/>
    <cellStyle name="SAPBEXstdItem 6" xfId="47325"/>
    <cellStyle name="SAPBEXstdItem 6 2" xfId="51018"/>
    <cellStyle name="SAPBEXstdItem 6 3" xfId="51332"/>
    <cellStyle name="SAPBEXstdItem 6 4" xfId="49973"/>
    <cellStyle name="SAPBEXstdItem 7" xfId="47326"/>
    <cellStyle name="SAPBEXstdItem 7 2" xfId="50668"/>
    <cellStyle name="SAPBEXstdItem 8" xfId="47327"/>
    <cellStyle name="SAPBEXstdItem 8 2" xfId="50802"/>
    <cellStyle name="SAPBEXstdItem 9" xfId="47328"/>
    <cellStyle name="SAPBEXstdItem 9 2" xfId="50880"/>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2 2" xfId="50099"/>
    <cellStyle name="SAPBEXstdItemX 2 2 3" xfId="51101"/>
    <cellStyle name="SAPBEXstdItemX 2 2 4" xfId="49910"/>
    <cellStyle name="SAPBEXstdItemX 2 3" xfId="47342"/>
    <cellStyle name="SAPBEXstdItemX 2 3 2" xfId="50457"/>
    <cellStyle name="SAPBEXstdItemX 2 4" xfId="51440"/>
    <cellStyle name="SAPBEXstdItemX 2 5" xfId="4958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 2" xfId="49943"/>
    <cellStyle name="SAPBEXstdItemX 3 2 2" xfId="50071"/>
    <cellStyle name="SAPBEXstdItemX 3 2 3" xfId="51287"/>
    <cellStyle name="SAPBEXstdItemX 3 3" xfId="50054"/>
    <cellStyle name="SAPBEXstdItemX 3 4" xfId="51632"/>
    <cellStyle name="SAPBEXstdItemX 3 5" xfId="49615"/>
    <cellStyle name="SAPBEXstdItemX 30" xfId="47354"/>
    <cellStyle name="SAPBEXstdItemX 31" xfId="47355"/>
    <cellStyle name="SAPBEXstdItemX 32" xfId="47356"/>
    <cellStyle name="SAPBEXstdItemX 33" xfId="49348"/>
    <cellStyle name="SAPBEXstdItemX 4" xfId="47357"/>
    <cellStyle name="SAPBEXstdItemX 4 2" xfId="50269"/>
    <cellStyle name="SAPBEXstdItemX 4 3" xfId="50642"/>
    <cellStyle name="SAPBEXstdItemX 4 4" xfId="49720"/>
    <cellStyle name="SAPBEXstdItemX 5" xfId="47358"/>
    <cellStyle name="SAPBEXstdItemX 5 2" xfId="51017"/>
    <cellStyle name="SAPBEXstdItemX 5 3" xfId="51578"/>
    <cellStyle name="SAPBEXstdItemX 5 4" xfId="49972"/>
    <cellStyle name="SAPBEXstdItemX 6" xfId="47359"/>
    <cellStyle name="SAPBEXstdItemX 6 2" xfId="50667"/>
    <cellStyle name="SAPBEXstdItemX 7" xfId="47360"/>
    <cellStyle name="SAPBEXstdItemX 7 2" xfId="50803"/>
    <cellStyle name="SAPBEXstdItemX 8" xfId="47361"/>
    <cellStyle name="SAPBEXstdItemX 9" xfId="47362"/>
    <cellStyle name="SAPBEXtitle" xfId="70"/>
    <cellStyle name="SAPBEXtitle 2" xfId="47363"/>
    <cellStyle name="SAPBEXtitle 2 2" xfId="47364"/>
    <cellStyle name="SAPBEXtitle 2 2 2" xfId="50098"/>
    <cellStyle name="SAPBEXtitle 2 2 3" xfId="51102"/>
    <cellStyle name="SAPBEXtitle 2 2 4" xfId="49911"/>
    <cellStyle name="SAPBEXtitle 2 3" xfId="50456"/>
    <cellStyle name="SAPBEXtitle 2 4" xfId="51366"/>
    <cellStyle name="SAPBEXtitle 2 5" xfId="49583"/>
    <cellStyle name="SAPBEXtitle 3" xfId="49616"/>
    <cellStyle name="SAPBEXtitle 3 2" xfId="49944"/>
    <cellStyle name="SAPBEXtitle 3 2 2" xfId="50070"/>
    <cellStyle name="SAPBEXtitle 3 2 3" xfId="51545"/>
    <cellStyle name="SAPBEXtitle 3 3" xfId="50430"/>
    <cellStyle name="SAPBEXtitle 3 4" xfId="51137"/>
    <cellStyle name="SAPBEXtitle 4" xfId="49721"/>
    <cellStyle name="SAPBEXtitle 4 2" xfId="50971"/>
    <cellStyle name="SAPBEXtitle 4 3" xfId="51262"/>
    <cellStyle name="SAPBEXtitle 5" xfId="49971"/>
    <cellStyle name="SAPBEXtitle 5 2" xfId="51016"/>
    <cellStyle name="SAPBEXtitle 5 3" xfId="51321"/>
    <cellStyle name="SAPBEXtitle 6" xfId="50666"/>
    <cellStyle name="SAPBEXtitle 7" xfId="50871"/>
    <cellStyle name="SAPBEXtitle 8" xfId="49349"/>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18" xfId="49350"/>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2 2" xfId="50097"/>
    <cellStyle name="SAPBEXundefined 2 2 3" xfId="47596"/>
    <cellStyle name="SAPBEXundefined 2 2 3 2" xfId="51149"/>
    <cellStyle name="SAPBEXundefined 2 2 4" xfId="49912"/>
    <cellStyle name="SAPBEXundefined 2 3" xfId="47597"/>
    <cellStyle name="SAPBEXundefined 2 3 2" xfId="47598"/>
    <cellStyle name="SAPBEXundefined 2 3 3" xfId="50455"/>
    <cellStyle name="SAPBEXundefined 2 4" xfId="47599"/>
    <cellStyle name="SAPBEXundefined 2 4 2" xfId="51633"/>
    <cellStyle name="SAPBEXundefined 2 5" xfId="49584"/>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2 2" xfId="50990"/>
    <cellStyle name="SAPBEXundefined 3 2 3" xfId="51318"/>
    <cellStyle name="SAPBEXundefined 3 2 4" xfId="49945"/>
    <cellStyle name="SAPBEXundefined 3 3" xfId="47612"/>
    <cellStyle name="SAPBEXundefined 3 3 2" xfId="50429"/>
    <cellStyle name="SAPBEXundefined 3 4" xfId="50936"/>
    <cellStyle name="SAPBEXundefined 3 5" xfId="49617"/>
    <cellStyle name="SAPBEXundefined 30" xfId="47613"/>
    <cellStyle name="SAPBEXundefined 31" xfId="47614"/>
    <cellStyle name="SAPBEXundefined 32" xfId="47615"/>
    <cellStyle name="SAPBEXundefined 33" xfId="49351"/>
    <cellStyle name="SAPBEXundefined 4" xfId="47616"/>
    <cellStyle name="SAPBEXundefined 4 2" xfId="47617"/>
    <cellStyle name="SAPBEXundefined 4 2 2" xfId="51001"/>
    <cellStyle name="SAPBEXundefined 4 2 3" xfId="51576"/>
    <cellStyle name="SAPBEXundefined 4 2 4" xfId="49956"/>
    <cellStyle name="SAPBEXundefined 4 3" xfId="50926"/>
    <cellStyle name="SAPBEXundefined 4 4" xfId="50819"/>
    <cellStyle name="SAPBEXundefined 4 5" xfId="49628"/>
    <cellStyle name="SAPBEXundefined 5" xfId="47618"/>
    <cellStyle name="SAPBEXundefined 5 2" xfId="50898"/>
    <cellStyle name="SAPBEXundefined 5 3" xfId="51520"/>
    <cellStyle name="SAPBEXundefined 5 4" xfId="49722"/>
    <cellStyle name="SAPBEXundefined 6" xfId="47619"/>
    <cellStyle name="SAPBEXundefined 6 2" xfId="51015"/>
    <cellStyle name="SAPBEXundefined 6 3" xfId="51548"/>
    <cellStyle name="SAPBEXundefined 6 4" xfId="49970"/>
    <cellStyle name="SAPBEXundefined 7" xfId="47620"/>
    <cellStyle name="SAPBEXundefined 7 2" xfId="50665"/>
    <cellStyle name="SAPBEXundefined 8" xfId="47621"/>
    <cellStyle name="SAPBEXundefined 8 2" xfId="51145"/>
    <cellStyle name="SAPBEXundefined 9" xfId="47622"/>
    <cellStyle name="SAPBEXundefined 9 2" xfId="51683"/>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eet Title 8" xfId="49352"/>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11" xfId="49353"/>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 2" xfId="49585"/>
    <cellStyle name="Sub-total 2 2" xfId="49913"/>
    <cellStyle name="Sub-total 2 2 2" xfId="50096"/>
    <cellStyle name="Sub-total 2 2 3" xfId="51103"/>
    <cellStyle name="Sub-total 2 3" xfId="50454"/>
    <cellStyle name="Sub-total 2 4" xfId="50808"/>
    <cellStyle name="Sub-total 3" xfId="49618"/>
    <cellStyle name="Sub-total 3 2" xfId="49946"/>
    <cellStyle name="Sub-total 3 2 2" xfId="50991"/>
    <cellStyle name="Sub-total 3 2 3" xfId="51575"/>
    <cellStyle name="Sub-total 3 3" xfId="50428"/>
    <cellStyle name="Sub-total 3 4" xfId="51135"/>
    <cellStyle name="Sub-total 4" xfId="49723"/>
    <cellStyle name="Sub-total 4 2" xfId="50964"/>
    <cellStyle name="Sub-total 4 3" xfId="51169"/>
    <cellStyle name="Sub-total 5" xfId="49969"/>
    <cellStyle name="Sub-total 5 2" xfId="51014"/>
    <cellStyle name="Sub-total 5 3" xfId="51290"/>
    <cellStyle name="Sub-total 6" xfId="50661"/>
    <cellStyle name="Sub-total 7" xfId="50956"/>
    <cellStyle name="Sub-total 8" xfId="4935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wpBody01 9" xfId="4935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18" xfId="49356"/>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3 4" xfId="49357"/>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14" xfId="49597"/>
    <cellStyle name="Total 1 2 2 2" xfId="47897"/>
    <cellStyle name="Total 1 2 2 2 2" xfId="47898"/>
    <cellStyle name="Total 1 2 2 2 2 2" xfId="50086"/>
    <cellStyle name="Total 1 2 2 2 3" xfId="47899"/>
    <cellStyle name="Total 1 2 2 2 3 2" xfId="51155"/>
    <cellStyle name="Total 1 2 2 2 4" xfId="49925"/>
    <cellStyle name="Total 1 2 2 3" xfId="47900"/>
    <cellStyle name="Total 1 2 2 3 2" xfId="47901"/>
    <cellStyle name="Total 1 2 2 3 3" xfId="47902"/>
    <cellStyle name="Total 1 2 2 3 4" xfId="50442"/>
    <cellStyle name="Total 1 2 2 4" xfId="47903"/>
    <cellStyle name="Total 1 2 2 4 2" xfId="47904"/>
    <cellStyle name="Total 1 2 2 4 3" xfId="47905"/>
    <cellStyle name="Total 1 2 2 4 4" xfId="51448"/>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2 2" xfId="50997"/>
    <cellStyle name="Total 1 2 3 2 3" xfId="51113"/>
    <cellStyle name="Total 1 2 3 2 4" xfId="49952"/>
    <cellStyle name="Total 1 2 3 3" xfId="47923"/>
    <cellStyle name="Total 1 2 3 3 2" xfId="50056"/>
    <cellStyle name="Total 1 2 3 4" xfId="51253"/>
    <cellStyle name="Total 1 2 3 5" xfId="49624"/>
    <cellStyle name="Total 1 2 30" xfId="47924"/>
    <cellStyle name="Total 1 2 31" xfId="49395"/>
    <cellStyle name="Total 1 2 4" xfId="47925"/>
    <cellStyle name="Total 1 2 4 2" xfId="47926"/>
    <cellStyle name="Total 1 2 4 2 2" xfId="50878"/>
    <cellStyle name="Total 1 2 4 3" xfId="47927"/>
    <cellStyle name="Total 1 2 4 3 2" xfId="51622"/>
    <cellStyle name="Total 1 2 4 4" xfId="49726"/>
    <cellStyle name="Total 1 2 5" xfId="47928"/>
    <cellStyle name="Total 1 2 5 2" xfId="47929"/>
    <cellStyle name="Total 1 2 5 3" xfId="47930"/>
    <cellStyle name="Total 1 2 5 4" xfId="50640"/>
    <cellStyle name="Total 1 2 6" xfId="47931"/>
    <cellStyle name="Total 1 2 6 2" xfId="51218"/>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79" xfId="49358"/>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2 2" xfId="50095"/>
    <cellStyle name="Total 2 2 2 3" xfId="51150"/>
    <cellStyle name="Total 2 2 2 4" xfId="49914"/>
    <cellStyle name="Total 2 2 3" xfId="48145"/>
    <cellStyle name="Total 2 2 3 2" xfId="50453"/>
    <cellStyle name="Total 2 2 4" xfId="51249"/>
    <cellStyle name="Total 2 2 5" xfId="49586"/>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2 2" xfId="50992"/>
    <cellStyle name="Total 2 3 2 3" xfId="51405"/>
    <cellStyle name="Total 2 3 2 4" xfId="49947"/>
    <cellStyle name="Total 2 3 3" xfId="48158"/>
    <cellStyle name="Total 2 3 3 2" xfId="50427"/>
    <cellStyle name="Total 2 3 4" xfId="50788"/>
    <cellStyle name="Total 2 3 5" xfId="49619"/>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 2" xfId="50893"/>
    <cellStyle name="Total 2 4 3" xfId="51428"/>
    <cellStyle name="Total 2 4 4" xfId="49724"/>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49" xfId="49359"/>
    <cellStyle name="Total 2 5" xfId="48179"/>
    <cellStyle name="Total 2 5 2" xfId="51013"/>
    <cellStyle name="Total 2 5 3" xfId="51115"/>
    <cellStyle name="Total 2 5 4" xfId="49968"/>
    <cellStyle name="Total 2 6" xfId="48180"/>
    <cellStyle name="Total 2 6 2" xfId="50658"/>
    <cellStyle name="Total 2 7" xfId="48181"/>
    <cellStyle name="Total 2 7 2" xfId="50804"/>
    <cellStyle name="Total 2 8" xfId="48182"/>
    <cellStyle name="Total 2 9" xfId="48183"/>
    <cellStyle name="Total 3" xfId="48184"/>
    <cellStyle name="Total 3 2" xfId="48185"/>
    <cellStyle name="Total 3 2 2" xfId="49915"/>
    <cellStyle name="Total 3 2 2 2" xfId="50094"/>
    <cellStyle name="Total 3 2 2 3" xfId="51104"/>
    <cellStyle name="Total 3 2 3" xfId="50452"/>
    <cellStyle name="Total 3 2 4" xfId="51506"/>
    <cellStyle name="Total 3 2 5" xfId="49587"/>
    <cellStyle name="Total 3 3" xfId="48186"/>
    <cellStyle name="Total 3 3 2" xfId="49948"/>
    <cellStyle name="Total 3 3 2 2" xfId="50993"/>
    <cellStyle name="Total 3 3 2 3" xfId="51593"/>
    <cellStyle name="Total 3 3 3" xfId="50426"/>
    <cellStyle name="Total 3 3 4" xfId="50852"/>
    <cellStyle name="Total 3 3 5" xfId="49620"/>
    <cellStyle name="Total 3 4" xfId="49725"/>
    <cellStyle name="Total 3 4 2" xfId="50951"/>
    <cellStyle name="Total 3 4 3" xfId="51381"/>
    <cellStyle name="Total 3 5" xfId="49967"/>
    <cellStyle name="Total 3 5 2" xfId="51012"/>
    <cellStyle name="Total 3 5 3" xfId="51608"/>
    <cellStyle name="Total 3 6" xfId="50657"/>
    <cellStyle name="Total 3 7" xfId="51146"/>
    <cellStyle name="Total 3 8" xfId="49360"/>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18" xfId="49361"/>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Warning Text 3 2" xfId="49362"/>
    <cellStyle name="Yellow" xfId="48233"/>
    <cellStyle name="Yellow 2" xfId="49364"/>
    <cellStyle name="Yellow 2 2" xfId="49365"/>
    <cellStyle name="Yellow 2 3" xfId="49366"/>
    <cellStyle name="Yellow 2 4" xfId="49367"/>
    <cellStyle name="Yellow 2 5" xfId="49368"/>
    <cellStyle name="Yellow 2 6" xfId="49369"/>
    <cellStyle name="Yellow 2 7" xfId="49370"/>
    <cellStyle name="Yellow 2 8" xfId="49371"/>
    <cellStyle name="Yellow 3" xfId="49363"/>
  </cellStyles>
  <dxfs count="82">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FFFFCC"/>
      <color rgb="FFCCFFFF"/>
      <color rgb="FFCCFFCC"/>
      <color rgb="FFCCECFF"/>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886552/Forecomp_May_2020.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80" zoomScaleNormal="80" zoomScaleSheetLayoutView="90" workbookViewId="0">
      <pane ySplit="3" topLeftCell="A4" activePane="bottomLeft" state="frozen"/>
      <selection activeCell="B75" sqref="A1:XFD1048576"/>
      <selection pane="bottomLeft" activeCell="C10" sqref="C10"/>
    </sheetView>
  </sheetViews>
  <sheetFormatPr defaultRowHeight="12.6"/>
  <cols>
    <col min="1" max="1" width="8.36328125" customWidth="1"/>
    <col min="2" max="2" width="27.08984375" customWidth="1"/>
    <col min="3" max="6" width="14.08984375" customWidth="1"/>
    <col min="7" max="7" width="14.08984375" style="211" customWidth="1"/>
    <col min="8" max="11" width="14.08984375" customWidth="1"/>
  </cols>
  <sheetData>
    <row r="1" spans="1:11" s="31" customFormat="1" ht="21">
      <c r="A1" s="896" t="s">
        <v>307</v>
      </c>
      <c r="B1" s="897"/>
      <c r="C1" s="897"/>
      <c r="D1" s="898"/>
      <c r="E1" s="899"/>
      <c r="F1" s="897"/>
      <c r="G1" s="900"/>
      <c r="H1" s="897"/>
      <c r="I1" s="897"/>
      <c r="J1" s="897"/>
      <c r="K1" s="897"/>
    </row>
    <row r="2" spans="1:11" s="31" customFormat="1" ht="21">
      <c r="A2" s="896" t="str">
        <f>'RFPR cover'!C5</f>
        <v>WPD-WMID</v>
      </c>
      <c r="B2" s="897"/>
      <c r="C2" s="897"/>
      <c r="D2" s="899"/>
      <c r="E2" s="899"/>
      <c r="F2" s="897"/>
      <c r="G2" s="900"/>
      <c r="H2" s="897"/>
      <c r="I2" s="897"/>
      <c r="J2" s="897"/>
      <c r="K2" s="897"/>
    </row>
    <row r="3" spans="1:11" s="31" customFormat="1" ht="21">
      <c r="A3" s="896">
        <f>'RFPR cover'!C7</f>
        <v>2020</v>
      </c>
      <c r="B3" s="897"/>
      <c r="C3" s="897"/>
      <c r="D3" s="899"/>
      <c r="E3" s="899"/>
      <c r="F3" s="897"/>
      <c r="G3" s="900"/>
      <c r="H3" s="897"/>
      <c r="I3" s="897"/>
      <c r="J3" s="897"/>
      <c r="K3" s="897"/>
    </row>
    <row r="4" spans="1:11" ht="13.8">
      <c r="A4" s="30"/>
      <c r="B4" s="30"/>
      <c r="C4" s="30"/>
      <c r="D4" s="30"/>
      <c r="E4" s="30"/>
      <c r="H4" s="10"/>
      <c r="I4" s="10"/>
      <c r="J4" s="10"/>
    </row>
    <row r="5" spans="1:11" ht="13.5" customHeight="1">
      <c r="A5" s="30"/>
      <c r="B5" s="78" t="s">
        <v>62</v>
      </c>
      <c r="C5" s="45" t="s">
        <v>247</v>
      </c>
      <c r="D5" s="335"/>
      <c r="E5" s="19"/>
      <c r="F5" s="11"/>
      <c r="G5" s="544" t="s">
        <v>0</v>
      </c>
      <c r="H5" s="10"/>
      <c r="I5" s="10"/>
      <c r="J5" s="10"/>
    </row>
    <row r="6" spans="1:11" ht="13.5" customHeight="1">
      <c r="A6" s="30"/>
      <c r="B6" s="78" t="s">
        <v>189</v>
      </c>
      <c r="C6" s="83" t="str">
        <f>INDEX(Data!$A$73:$A$100,MATCH($C$5,Data!$B$73:$B$100,0),0)&amp;"1"</f>
        <v>ED1</v>
      </c>
      <c r="D6" s="19"/>
      <c r="E6" s="19"/>
      <c r="F6" s="9"/>
      <c r="G6" s="544" t="s">
        <v>1</v>
      </c>
      <c r="H6" s="10"/>
      <c r="I6" s="10"/>
      <c r="J6" s="10"/>
    </row>
    <row r="7" spans="1:11" ht="25.8">
      <c r="A7" s="30"/>
      <c r="B7" s="79" t="s">
        <v>188</v>
      </c>
      <c r="C7" s="45">
        <v>2020</v>
      </c>
      <c r="D7" s="18"/>
      <c r="E7" s="19"/>
      <c r="F7" s="8"/>
      <c r="G7" s="545" t="s">
        <v>2</v>
      </c>
      <c r="H7" s="10"/>
      <c r="I7" s="10"/>
      <c r="J7" s="10"/>
    </row>
    <row r="8" spans="1:11" ht="13.8">
      <c r="A8" s="30"/>
      <c r="B8" s="78" t="s">
        <v>37</v>
      </c>
      <c r="C8" s="961">
        <v>2</v>
      </c>
      <c r="D8" s="19"/>
      <c r="E8" s="18"/>
      <c r="F8" s="7"/>
      <c r="G8" s="544" t="s">
        <v>3</v>
      </c>
      <c r="H8" s="10"/>
      <c r="I8" s="10"/>
      <c r="J8" s="10"/>
    </row>
    <row r="9" spans="1:11" ht="13.8">
      <c r="A9" s="30"/>
      <c r="B9" s="78" t="s">
        <v>38</v>
      </c>
      <c r="C9" s="963">
        <v>44117</v>
      </c>
      <c r="D9" s="18"/>
      <c r="E9" s="18"/>
      <c r="F9" s="6"/>
      <c r="G9" s="544" t="s">
        <v>4</v>
      </c>
      <c r="H9" s="10"/>
      <c r="I9" s="10"/>
      <c r="J9" s="10"/>
    </row>
    <row r="10" spans="1:11" ht="13.8">
      <c r="A10" s="30"/>
      <c r="B10" s="78" t="s">
        <v>70</v>
      </c>
      <c r="C10" s="84">
        <f>SUMIF(Data!$B$72:$B$100,C5,Data!$C$72:$C$100)</f>
        <v>6.4000000000000001E-2</v>
      </c>
      <c r="D10" s="18"/>
      <c r="E10" s="18"/>
      <c r="F10" s="5"/>
      <c r="G10" s="544" t="s">
        <v>5</v>
      </c>
      <c r="H10" s="10"/>
      <c r="I10" s="10"/>
      <c r="J10" s="10"/>
    </row>
    <row r="11" spans="1:11" ht="13.8">
      <c r="A11" s="30"/>
      <c r="B11" s="78" t="s">
        <v>71</v>
      </c>
      <c r="C11" s="85">
        <f>SUMIF(Data!$B$72:$B$100,C5,Data!$D$72:$D$100)</f>
        <v>0.7</v>
      </c>
      <c r="D11" s="19"/>
      <c r="E11" s="19"/>
      <c r="F11" s="4"/>
      <c r="G11" s="544" t="s">
        <v>6</v>
      </c>
      <c r="H11" s="10"/>
      <c r="I11" s="10"/>
      <c r="J11" s="10"/>
    </row>
    <row r="12" spans="1:11">
      <c r="A12" s="30"/>
      <c r="B12" s="78" t="s">
        <v>115</v>
      </c>
      <c r="C12" s="84">
        <f>SUMIF(Data!$B$72:$B$100,C5,Data!$E$72:$E$100)</f>
        <v>0.65</v>
      </c>
      <c r="D12" s="18"/>
      <c r="E12" s="18"/>
      <c r="F12" s="18"/>
      <c r="G12" s="546"/>
    </row>
    <row r="13" spans="1:11">
      <c r="A13" s="30"/>
      <c r="B13" s="78" t="s">
        <v>510</v>
      </c>
      <c r="C13" s="83">
        <f>INDEX(Data!$G$73:$G$100,MATCH($C$5,Data!$B$73:$B$100,0),0)</f>
        <v>2016</v>
      </c>
      <c r="D13" s="18"/>
      <c r="E13" s="18"/>
      <c r="F13" s="77" t="s">
        <v>191</v>
      </c>
    </row>
    <row r="14" spans="1:11">
      <c r="A14" s="30"/>
      <c r="B14" s="80" t="s">
        <v>185</v>
      </c>
      <c r="C14" s="83" t="str">
        <f>INDEX(Data!$H$73:$H$100,MATCH($C$5,Data!$B$73:$B$100,0),0)</f>
        <v>£m 12/13</v>
      </c>
      <c r="D14" s="18"/>
      <c r="E14" s="18"/>
      <c r="F14" s="87">
        <v>0.1</v>
      </c>
      <c r="G14" s="546"/>
    </row>
    <row r="15" spans="1:11">
      <c r="A15" s="30"/>
      <c r="B15" s="18"/>
      <c r="C15" s="18"/>
      <c r="D15" s="18"/>
      <c r="E15" s="18"/>
      <c r="F15" s="18"/>
      <c r="G15" s="546"/>
    </row>
    <row r="85" spans="1:1">
      <c r="A85" s="202"/>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L28"/>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79.453125" customWidth="1"/>
    <col min="3" max="3" width="14.08984375" style="134" customWidth="1"/>
    <col min="4" max="11" width="11.08984375" customWidth="1"/>
    <col min="12" max="12" width="5" customWidth="1"/>
  </cols>
  <sheetData>
    <row r="1" spans="1:12" s="31" customFormat="1" ht="21">
      <c r="A1" s="915" t="s">
        <v>100</v>
      </c>
      <c r="B1" s="911"/>
      <c r="C1" s="276"/>
      <c r="D1" s="254"/>
      <c r="E1" s="254"/>
      <c r="F1" s="254"/>
      <c r="G1" s="254"/>
      <c r="H1" s="254"/>
      <c r="I1" s="255"/>
      <c r="J1" s="255"/>
      <c r="K1" s="256"/>
      <c r="L1" s="257"/>
    </row>
    <row r="2" spans="1:12" s="31" customFormat="1" ht="21">
      <c r="A2" s="904" t="str">
        <f>'RFPR cover'!C5</f>
        <v>WPD-WMID</v>
      </c>
      <c r="B2" s="896"/>
      <c r="C2" s="132"/>
      <c r="D2" s="29"/>
      <c r="E2" s="29"/>
      <c r="F2" s="29"/>
      <c r="G2" s="29"/>
      <c r="H2" s="29"/>
      <c r="I2" s="27"/>
      <c r="J2" s="27"/>
      <c r="K2" s="27"/>
      <c r="L2" s="121"/>
    </row>
    <row r="3" spans="1:12" s="37" customFormat="1" ht="22.8">
      <c r="A3" s="907">
        <f>'RFPR cover'!C7</f>
        <v>2020</v>
      </c>
      <c r="B3" s="913" t="str">
        <f>'R1 - RoRE'!B3</f>
        <v/>
      </c>
      <c r="C3" s="278"/>
      <c r="D3" s="277"/>
      <c r="E3" s="277"/>
      <c r="F3" s="277"/>
      <c r="G3" s="277"/>
      <c r="H3" s="277"/>
      <c r="I3" s="253"/>
      <c r="J3" s="253"/>
      <c r="K3" s="253"/>
      <c r="L3" s="259"/>
    </row>
    <row r="4" spans="1:12" s="2" customFormat="1" ht="12.75" customHeight="1">
      <c r="C4" s="134"/>
    </row>
    <row r="5" spans="1:12" s="2" customFormat="1">
      <c r="B5" s="3"/>
      <c r="C5" s="134"/>
      <c r="D5" s="385" t="str">
        <f>IF(D6&lt;='RFPR cover'!$C$7,"Actuals","Forecast")</f>
        <v>Actuals</v>
      </c>
      <c r="E5" s="386" t="str">
        <f>IF(E6&lt;='RFPR cover'!$C$7,"Actuals","Forecast")</f>
        <v>Actuals</v>
      </c>
      <c r="F5" s="386" t="str">
        <f>IF(F6&lt;='RFPR cover'!$C$7,"Actuals","Forecast")</f>
        <v>Actuals</v>
      </c>
      <c r="G5" s="386" t="str">
        <f>IF(G6&lt;='RFPR cover'!$C$7,"Actuals","Forecast")</f>
        <v>Actuals</v>
      </c>
      <c r="H5" s="386" t="str">
        <f>IF(H6&lt;='RFPR cover'!$C$7,"Actuals","Forecast")</f>
        <v>Actuals</v>
      </c>
      <c r="I5" s="386" t="str">
        <f>IF(I6&lt;='RFPR cover'!$C$7,"Actuals","Forecast")</f>
        <v>Forecast</v>
      </c>
      <c r="J5" s="386" t="str">
        <f>IF(J6&lt;='RFPR cover'!$C$7,"Actuals","Forecast")</f>
        <v>Forecast</v>
      </c>
      <c r="K5" s="387" t="str">
        <f>IF(K6&lt;='RFPR cover'!$C$7,"Actuals","Forecast")</f>
        <v>Forecast</v>
      </c>
    </row>
    <row r="6" spans="1:12" s="2" customFormat="1">
      <c r="C6" s="134"/>
      <c r="D6" s="115">
        <f>'RFPR cover'!$C$13</f>
        <v>2016</v>
      </c>
      <c r="E6" s="116">
        <f>D6+1</f>
        <v>2017</v>
      </c>
      <c r="F6" s="116">
        <f t="shared" ref="F6:K6" si="0">E6+1</f>
        <v>2018</v>
      </c>
      <c r="G6" s="116">
        <f t="shared" si="0"/>
        <v>2019</v>
      </c>
      <c r="H6" s="116">
        <f t="shared" si="0"/>
        <v>2020</v>
      </c>
      <c r="I6" s="116">
        <f t="shared" si="0"/>
        <v>2021</v>
      </c>
      <c r="J6" s="116">
        <f t="shared" si="0"/>
        <v>2022</v>
      </c>
      <c r="K6" s="116">
        <f t="shared" si="0"/>
        <v>2023</v>
      </c>
    </row>
    <row r="7" spans="1:12" s="2" customFormat="1">
      <c r="C7" s="134"/>
    </row>
    <row r="8" spans="1:12" s="2" customFormat="1">
      <c r="B8" s="51" t="s">
        <v>134</v>
      </c>
      <c r="C8" s="135"/>
      <c r="D8" s="57"/>
      <c r="E8" s="57"/>
      <c r="F8" s="57"/>
      <c r="G8" s="57"/>
      <c r="H8" s="57"/>
      <c r="I8" s="57"/>
      <c r="J8" s="57"/>
      <c r="K8" s="57"/>
    </row>
    <row r="9" spans="1:12" s="2" customFormat="1">
      <c r="B9" s="223" t="s">
        <v>517</v>
      </c>
      <c r="C9" s="150" t="s">
        <v>128</v>
      </c>
      <c r="D9" s="590">
        <v>0.38574358999999997</v>
      </c>
      <c r="E9" s="591">
        <v>1.8074124900000001</v>
      </c>
      <c r="F9" s="591">
        <v>2.0534999999999997</v>
      </c>
      <c r="G9" s="591">
        <v>1.4328000000000001</v>
      </c>
      <c r="H9" s="591">
        <v>2.1026920000000007</v>
      </c>
      <c r="I9" s="591">
        <v>2.3315206768016163</v>
      </c>
      <c r="J9" s="591">
        <v>2.1499105206166815</v>
      </c>
      <c r="K9" s="591">
        <v>1.8771983569513047</v>
      </c>
    </row>
    <row r="10" spans="1:12" s="2" customFormat="1">
      <c r="B10" s="223" t="s">
        <v>498</v>
      </c>
      <c r="C10" s="150" t="s">
        <v>128</v>
      </c>
      <c r="D10" s="592">
        <v>0</v>
      </c>
      <c r="E10" s="593">
        <v>0</v>
      </c>
      <c r="F10" s="593">
        <v>0</v>
      </c>
      <c r="G10" s="593">
        <v>0</v>
      </c>
      <c r="H10" s="593">
        <v>0</v>
      </c>
      <c r="I10" s="593">
        <v>0</v>
      </c>
      <c r="J10" s="593">
        <v>0</v>
      </c>
      <c r="K10" s="593">
        <v>0</v>
      </c>
    </row>
    <row r="11" spans="1:12" s="2" customFormat="1">
      <c r="B11" s="223" t="s">
        <v>516</v>
      </c>
      <c r="C11" s="150" t="s">
        <v>128</v>
      </c>
      <c r="D11" s="844">
        <v>3.8574359000000003E-2</v>
      </c>
      <c r="E11" s="845">
        <v>0.17474124900000002</v>
      </c>
      <c r="F11" s="845">
        <v>0.20534999999999998</v>
      </c>
      <c r="G11" s="845">
        <v>0.14328000000000002</v>
      </c>
      <c r="H11" s="845">
        <v>0.21026920000000007</v>
      </c>
      <c r="I11" s="845">
        <f>+I9*0.1</f>
        <v>0.23315206768016164</v>
      </c>
      <c r="J11" s="845">
        <f t="shared" ref="J11:K11" si="1">+J9*0.1</f>
        <v>0.21499105206166816</v>
      </c>
      <c r="K11" s="845">
        <f t="shared" si="1"/>
        <v>0.18771983569513048</v>
      </c>
    </row>
    <row r="12" spans="1:12" s="12" customFormat="1">
      <c r="B12" s="51" t="s">
        <v>132</v>
      </c>
      <c r="C12" s="150" t="s">
        <v>128</v>
      </c>
      <c r="D12" s="606">
        <f>D9-D10-D11</f>
        <v>0.34716923099999997</v>
      </c>
      <c r="E12" s="607">
        <f t="shared" ref="E12:K12" si="2">E9-E10-E11</f>
        <v>1.6326712410000002</v>
      </c>
      <c r="F12" s="607">
        <f t="shared" si="2"/>
        <v>1.8481499999999997</v>
      </c>
      <c r="G12" s="607">
        <f t="shared" si="2"/>
        <v>1.28952</v>
      </c>
      <c r="H12" s="607">
        <f t="shared" si="2"/>
        <v>1.8924228000000005</v>
      </c>
      <c r="I12" s="607">
        <f t="shared" si="2"/>
        <v>2.0983686091214548</v>
      </c>
      <c r="J12" s="607">
        <f t="shared" si="2"/>
        <v>1.9349194685550133</v>
      </c>
      <c r="K12" s="607">
        <f t="shared" si="2"/>
        <v>1.6894785212561743</v>
      </c>
      <c r="L12" s="2"/>
    </row>
    <row r="13" spans="1:12" s="12" customFormat="1">
      <c r="B13" s="51"/>
      <c r="C13" s="134"/>
      <c r="D13" s="52"/>
      <c r="E13" s="52"/>
      <c r="F13" s="52"/>
      <c r="G13" s="52"/>
      <c r="H13" s="52"/>
      <c r="I13" s="52"/>
      <c r="J13" s="52"/>
      <c r="K13" s="52"/>
      <c r="L13" s="2"/>
    </row>
    <row r="14" spans="1:12" s="2" customFormat="1">
      <c r="B14" s="51" t="s">
        <v>156</v>
      </c>
      <c r="C14" s="135"/>
      <c r="D14" s="57"/>
      <c r="E14" s="57"/>
      <c r="F14" s="57"/>
      <c r="G14" s="57"/>
      <c r="H14" s="57"/>
      <c r="I14" s="57"/>
      <c r="J14" s="57"/>
      <c r="K14" s="57"/>
    </row>
    <row r="15" spans="1:12" s="2" customFormat="1" ht="13.2" customHeight="1">
      <c r="B15" s="223" t="s">
        <v>519</v>
      </c>
      <c r="C15" s="150" t="s">
        <v>128</v>
      </c>
      <c r="D15" s="590">
        <v>1.6996695900000001</v>
      </c>
      <c r="E15" s="591">
        <v>9.0166620000000003E-2</v>
      </c>
      <c r="F15" s="591">
        <v>0.26083297</v>
      </c>
      <c r="G15" s="591">
        <v>0.70743226000000003</v>
      </c>
      <c r="H15" s="591">
        <v>9.7071350000000001E-2</v>
      </c>
      <c r="I15" s="591">
        <v>0</v>
      </c>
      <c r="J15" s="591">
        <v>0</v>
      </c>
      <c r="K15" s="591">
        <v>0</v>
      </c>
    </row>
    <row r="16" spans="1:12" s="2" customFormat="1">
      <c r="B16" s="223" t="s">
        <v>518</v>
      </c>
      <c r="C16" s="150" t="s">
        <v>128</v>
      </c>
      <c r="D16" s="592">
        <v>0</v>
      </c>
      <c r="E16" s="593">
        <v>0</v>
      </c>
      <c r="F16" s="593">
        <v>0</v>
      </c>
      <c r="G16" s="593">
        <v>0</v>
      </c>
      <c r="H16" s="593">
        <v>0</v>
      </c>
      <c r="I16" s="593">
        <v>0</v>
      </c>
      <c r="J16" s="593">
        <v>0</v>
      </c>
      <c r="K16" s="593">
        <v>0</v>
      </c>
    </row>
    <row r="17" spans="2:12" s="12" customFormat="1">
      <c r="B17" s="51" t="s">
        <v>133</v>
      </c>
      <c r="C17" s="150" t="s">
        <v>128</v>
      </c>
      <c r="D17" s="606">
        <f>D15-D16</f>
        <v>1.6996695900000001</v>
      </c>
      <c r="E17" s="606">
        <f t="shared" ref="E17:K17" si="3">E15-E16</f>
        <v>9.0166620000000003E-2</v>
      </c>
      <c r="F17" s="606">
        <f t="shared" si="3"/>
        <v>0.26083297</v>
      </c>
      <c r="G17" s="606">
        <f t="shared" si="3"/>
        <v>0.70743226000000003</v>
      </c>
      <c r="H17" s="606">
        <f t="shared" si="3"/>
        <v>9.7071350000000001E-2</v>
      </c>
      <c r="I17" s="606">
        <f t="shared" si="3"/>
        <v>0</v>
      </c>
      <c r="J17" s="606">
        <f t="shared" si="3"/>
        <v>0</v>
      </c>
      <c r="K17" s="606">
        <f t="shared" si="3"/>
        <v>0</v>
      </c>
      <c r="L17" s="2"/>
    </row>
    <row r="18" spans="2:12" s="12" customFormat="1">
      <c r="B18" s="51"/>
      <c r="C18" s="134"/>
      <c r="D18" s="52"/>
      <c r="E18" s="52"/>
      <c r="F18" s="52"/>
      <c r="G18" s="52"/>
      <c r="H18" s="52"/>
      <c r="I18" s="52"/>
      <c r="J18" s="52"/>
      <c r="K18" s="52"/>
      <c r="L18" s="2"/>
    </row>
    <row r="19" spans="2:12" s="2" customFormat="1">
      <c r="B19" s="51" t="s">
        <v>157</v>
      </c>
      <c r="C19" s="135"/>
      <c r="D19" s="57"/>
      <c r="E19" s="57"/>
      <c r="F19" s="57"/>
      <c r="G19" s="57"/>
      <c r="H19" s="57"/>
      <c r="I19" s="57"/>
      <c r="J19" s="57"/>
      <c r="K19" s="57"/>
    </row>
    <row r="20" spans="2:12" s="2" customFormat="1">
      <c r="B20" s="223" t="s">
        <v>447</v>
      </c>
      <c r="C20" s="150" t="s">
        <v>128</v>
      </c>
      <c r="D20" s="590">
        <v>0</v>
      </c>
      <c r="E20" s="591">
        <v>0.1898</v>
      </c>
      <c r="F20" s="591">
        <v>1.9078999999999999</v>
      </c>
      <c r="G20" s="591">
        <v>1.2302</v>
      </c>
      <c r="H20" s="591">
        <v>0.86140000000000005</v>
      </c>
      <c r="I20" s="591">
        <v>4.4513562476137429E-3</v>
      </c>
      <c r="J20" s="591">
        <v>0.26474830031386259</v>
      </c>
      <c r="K20" s="591">
        <v>2.0638046415378049</v>
      </c>
    </row>
    <row r="21" spans="2:12" s="2" customFormat="1">
      <c r="B21" s="223" t="s">
        <v>516</v>
      </c>
      <c r="C21" s="150" t="s">
        <v>128</v>
      </c>
      <c r="D21" s="628">
        <v>0</v>
      </c>
      <c r="E21" s="629">
        <v>2.1100000000000008E-2</v>
      </c>
      <c r="F21" s="629">
        <v>0.21610000000000015</v>
      </c>
      <c r="G21" s="629">
        <v>0.13660000000000005</v>
      </c>
      <c r="H21" s="629">
        <v>9.5800000000000121E-2</v>
      </c>
      <c r="I21" s="629">
        <v>4.945951359391637E-4</v>
      </c>
      <c r="J21" s="629">
        <v>2.9416477818134664E-2</v>
      </c>
      <c r="K21" s="629">
        <v>0.22931162684737669</v>
      </c>
    </row>
    <row r="22" spans="2:12" s="2" customFormat="1">
      <c r="B22" s="35"/>
      <c r="C22" s="136"/>
      <c r="D22" s="35"/>
      <c r="E22" s="35"/>
      <c r="F22" s="35"/>
      <c r="G22" s="35"/>
      <c r="H22" s="35"/>
      <c r="I22" s="35"/>
      <c r="J22" s="35"/>
      <c r="K22" s="35"/>
    </row>
    <row r="23" spans="2:12" s="2" customFormat="1">
      <c r="B23" s="223" t="s">
        <v>501</v>
      </c>
      <c r="C23" s="150" t="s">
        <v>128</v>
      </c>
      <c r="D23" s="628">
        <v>0</v>
      </c>
      <c r="E23" s="629">
        <v>0</v>
      </c>
      <c r="F23" s="629">
        <v>0.4375</v>
      </c>
      <c r="G23" s="629">
        <v>1.2849999999999999</v>
      </c>
      <c r="H23" s="629">
        <v>0</v>
      </c>
      <c r="I23" s="629">
        <v>0</v>
      </c>
      <c r="J23" s="629">
        <v>0</v>
      </c>
      <c r="K23" s="629">
        <v>0</v>
      </c>
    </row>
    <row r="24" spans="2:12" s="2" customFormat="1">
      <c r="B24" s="35"/>
      <c r="C24" s="136"/>
      <c r="D24" s="35"/>
      <c r="E24" s="35"/>
      <c r="F24" s="35"/>
      <c r="G24" s="35"/>
      <c r="H24" s="35"/>
      <c r="I24" s="35"/>
      <c r="J24" s="35"/>
      <c r="K24" s="35"/>
    </row>
    <row r="25" spans="2:12" s="2" customFormat="1">
      <c r="B25" s="81"/>
      <c r="C25" s="148"/>
      <c r="D25" s="81"/>
      <c r="E25" s="81"/>
      <c r="F25" s="81"/>
      <c r="G25" s="81"/>
      <c r="H25" s="81"/>
      <c r="I25" s="81"/>
      <c r="J25" s="81"/>
      <c r="K25" s="81"/>
      <c r="L25" s="81"/>
    </row>
    <row r="26" spans="2:12" s="2" customFormat="1">
      <c r="B26" s="35"/>
      <c r="C26" s="136"/>
      <c r="D26" s="35"/>
      <c r="E26" s="35"/>
      <c r="F26" s="35"/>
      <c r="G26" s="35"/>
      <c r="H26" s="35"/>
      <c r="I26" s="35"/>
      <c r="J26" s="35"/>
      <c r="K26" s="35"/>
    </row>
    <row r="27" spans="2:12" s="2" customFormat="1">
      <c r="B27" s="51" t="s">
        <v>393</v>
      </c>
      <c r="C27" s="136"/>
      <c r="D27" s="35"/>
      <c r="E27" s="35"/>
      <c r="F27" s="35"/>
      <c r="G27" s="35"/>
      <c r="H27" s="35"/>
      <c r="I27" s="35"/>
      <c r="J27" s="35"/>
      <c r="K27" s="35"/>
    </row>
    <row r="28" spans="2:12" s="2" customFormat="1">
      <c r="B28" s="223" t="s">
        <v>499</v>
      </c>
      <c r="C28" s="153" t="str">
        <f>'RFPR cover'!$C$14</f>
        <v>£m 12/13</v>
      </c>
      <c r="D28" s="676">
        <f>(SUM(D10,D11,D21)-D23)/Data!C34</f>
        <v>3.6380033720941445E-2</v>
      </c>
      <c r="E28" s="676">
        <f>(SUM(E10,E11,E21)-E23)/Data!D34</f>
        <v>0.18082605361322229</v>
      </c>
      <c r="F28" s="676">
        <f>(SUM(F10,F11,F21)-F23)/Data!E34</f>
        <v>-1.4284901676197037E-2</v>
      </c>
      <c r="G28" s="676">
        <f>(SUM(G10,G11,G21)-G23)/Data!F34</f>
        <v>-0.86805785929094825</v>
      </c>
      <c r="H28" s="676">
        <f>(SUM(H10,H11,H21)-H23)/Data!G34</f>
        <v>0.25766228387500789</v>
      </c>
      <c r="I28" s="676">
        <f>(SUM(I10,I11,I21)-I23)/Data!H34</f>
        <v>0.19340595994168147</v>
      </c>
      <c r="J28" s="676">
        <f>(SUM(J10,J11,J21)-J23)/Data!I34</f>
        <v>0.19810378940648948</v>
      </c>
      <c r="K28" s="676">
        <f>(SUM(K10,K11,K21)-K23)/Data!J34</f>
        <v>0.32953799624611141</v>
      </c>
      <c r="L28" s="35"/>
    </row>
  </sheetData>
  <conditionalFormatting sqref="D6:K6">
    <cfRule type="expression" dxfId="42" priority="24">
      <formula>AND(D$5="Actuals",E$5="Forecast")</formula>
    </cfRule>
  </conditionalFormatting>
  <conditionalFormatting sqref="D5:K5">
    <cfRule type="expression" dxfId="41"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O91"/>
  <sheetViews>
    <sheetView showGridLines="0" zoomScale="70" zoomScaleNormal="70" workbookViewId="0">
      <pane ySplit="6" topLeftCell="A10" activePane="bottomLeft" state="frozen"/>
      <selection activeCell="B75" sqref="A1:XFD1048576"/>
      <selection pane="bottomLeft" activeCell="H6" sqref="H6"/>
    </sheetView>
  </sheetViews>
  <sheetFormatPr defaultRowHeight="12.6"/>
  <cols>
    <col min="1" max="1" width="8.36328125" customWidth="1"/>
    <col min="2" max="2" width="101.7265625" customWidth="1"/>
    <col min="3" max="3" width="14.08984375" customWidth="1"/>
    <col min="4" max="11" width="11.08984375" customWidth="1"/>
    <col min="12" max="13" width="12.90625" customWidth="1"/>
    <col min="14" max="14" width="5" customWidth="1"/>
  </cols>
  <sheetData>
    <row r="1" spans="1:14" s="31" customFormat="1" ht="21">
      <c r="A1" s="915" t="s">
        <v>265</v>
      </c>
      <c r="B1" s="911"/>
      <c r="C1" s="254"/>
      <c r="D1" s="254"/>
      <c r="E1" s="254"/>
      <c r="F1" s="254"/>
      <c r="G1" s="254"/>
      <c r="H1" s="254"/>
      <c r="I1" s="255"/>
      <c r="J1" s="255"/>
      <c r="K1" s="256"/>
      <c r="L1" s="256"/>
      <c r="M1" s="256"/>
      <c r="N1" s="257"/>
    </row>
    <row r="2" spans="1:14" s="31" customFormat="1" ht="21">
      <c r="A2" s="904" t="str">
        <f>'RFPR cover'!C5</f>
        <v>WPD-WMID</v>
      </c>
      <c r="B2" s="896"/>
      <c r="C2" s="29"/>
      <c r="D2" s="29"/>
      <c r="E2" s="29"/>
      <c r="F2" s="29"/>
      <c r="G2" s="29"/>
      <c r="H2" s="29"/>
      <c r="I2" s="27"/>
      <c r="J2" s="27"/>
      <c r="K2" s="27"/>
      <c r="L2" s="27"/>
      <c r="M2" s="27"/>
      <c r="N2" s="121"/>
    </row>
    <row r="3" spans="1:14" s="31" customFormat="1" ht="22.8">
      <c r="A3" s="907">
        <f>'RFPR cover'!C7</f>
        <v>2020</v>
      </c>
      <c r="B3" s="913" t="str">
        <f>'R1 - RoRE'!B3</f>
        <v/>
      </c>
      <c r="C3" s="258"/>
      <c r="D3" s="258"/>
      <c r="E3" s="258"/>
      <c r="F3" s="258"/>
      <c r="G3" s="258"/>
      <c r="H3" s="258"/>
      <c r="I3" s="253"/>
      <c r="J3" s="253"/>
      <c r="K3" s="253"/>
      <c r="L3" s="253"/>
      <c r="M3" s="253"/>
      <c r="N3" s="259"/>
    </row>
    <row r="4" spans="1:14" s="31" customFormat="1" ht="12.75" customHeight="1">
      <c r="A4" s="39"/>
      <c r="B4" s="39"/>
      <c r="C4" s="39"/>
      <c r="D4" s="39"/>
      <c r="E4" s="39"/>
      <c r="F4" s="39"/>
      <c r="G4" s="39"/>
      <c r="H4" s="39"/>
      <c r="I4" s="34"/>
      <c r="J4" s="34"/>
      <c r="K4" s="34"/>
      <c r="L4" s="33"/>
    </row>
    <row r="5" spans="1:14" s="2" customFormat="1">
      <c r="B5" s="3"/>
      <c r="C5" s="3"/>
      <c r="D5" s="385" t="str">
        <f>IF(D6&lt;='RFPR cover'!$C$7,"Actuals","Forecast")</f>
        <v>Actuals</v>
      </c>
      <c r="E5" s="386" t="str">
        <f>IF(E6&lt;='RFPR cover'!$C$7,"Actuals","Forecast")</f>
        <v>Actuals</v>
      </c>
      <c r="F5" s="386" t="str">
        <f>IF(F6&lt;='RFPR cover'!$C$7,"Actuals","Forecast")</f>
        <v>Actuals</v>
      </c>
      <c r="G5" s="386" t="str">
        <f>IF(G6&lt;='RFPR cover'!$C$7,"Actuals","Forecast")</f>
        <v>Actuals</v>
      </c>
      <c r="H5" s="386" t="str">
        <f>IF(H6&lt;='RFPR cover'!$C$7,"Actuals","Forecast")</f>
        <v>Actuals</v>
      </c>
      <c r="I5" s="386" t="str">
        <f>IF(I6&lt;='RFPR cover'!$C$7,"Actuals","Forecast")</f>
        <v>Forecast</v>
      </c>
      <c r="J5" s="386" t="str">
        <f>IF(J6&lt;='RFPR cover'!$C$7,"Actuals","Forecast")</f>
        <v>Forecast</v>
      </c>
      <c r="K5" s="387" t="str">
        <f>IF(K6&lt;='RFPR cover'!$C$7,"Actuals","Forecast")</f>
        <v>Forecast</v>
      </c>
    </row>
    <row r="6" spans="1:14" s="2" customFormat="1" ht="25.2">
      <c r="D6" s="115">
        <f>'RFPR cover'!$C$13</f>
        <v>2016</v>
      </c>
      <c r="E6" s="116">
        <f>D6+1</f>
        <v>2017</v>
      </c>
      <c r="F6" s="116">
        <f t="shared" ref="F6:K6" si="0">E6+1</f>
        <v>2018</v>
      </c>
      <c r="G6" s="116">
        <f t="shared" si="0"/>
        <v>2019</v>
      </c>
      <c r="H6" s="116">
        <f t="shared" si="0"/>
        <v>2020</v>
      </c>
      <c r="I6" s="116">
        <f t="shared" si="0"/>
        <v>2021</v>
      </c>
      <c r="J6" s="116">
        <f t="shared" si="0"/>
        <v>2022</v>
      </c>
      <c r="K6" s="193">
        <f t="shared" si="0"/>
        <v>2023</v>
      </c>
      <c r="L6" s="99" t="str">
        <f>"Cumulative to "&amp;'RFPR cover'!$C$7</f>
        <v>Cumulative to 2020</v>
      </c>
      <c r="M6" s="279" t="s">
        <v>109</v>
      </c>
    </row>
    <row r="7" spans="1:14" s="2" customFormat="1"/>
    <row r="8" spans="1:14">
      <c r="B8" s="475" t="s">
        <v>304</v>
      </c>
      <c r="C8" s="150" t="s">
        <v>128</v>
      </c>
      <c r="D8" s="344">
        <v>81.300338879999984</v>
      </c>
      <c r="E8" s="381">
        <v>77.149547739999988</v>
      </c>
      <c r="F8" s="381">
        <v>78.168976339999986</v>
      </c>
      <c r="G8" s="381">
        <v>78.674800610000005</v>
      </c>
      <c r="H8" s="381">
        <v>78.129919419999993</v>
      </c>
      <c r="I8" s="381">
        <v>77.414072411018196</v>
      </c>
      <c r="J8" s="381">
        <v>75.70920523735748</v>
      </c>
      <c r="K8" s="382">
        <v>74.975279345614027</v>
      </c>
      <c r="L8" s="35"/>
      <c r="M8" s="35"/>
    </row>
    <row r="9" spans="1:14">
      <c r="B9" s="14"/>
      <c r="C9" s="150"/>
      <c r="D9" s="227"/>
      <c r="E9" s="227"/>
      <c r="F9" s="227"/>
      <c r="G9" s="227"/>
      <c r="H9" s="227"/>
      <c r="I9" s="227"/>
      <c r="J9" s="227"/>
      <c r="K9" s="227"/>
      <c r="L9" s="35"/>
      <c r="M9" s="35"/>
    </row>
    <row r="10" spans="1:14">
      <c r="B10" s="14" t="s">
        <v>477</v>
      </c>
      <c r="C10" s="16"/>
      <c r="D10" s="228"/>
      <c r="E10" s="228"/>
      <c r="F10" s="228"/>
      <c r="G10" s="228"/>
      <c r="H10" s="228"/>
      <c r="I10" s="228"/>
      <c r="J10" s="228"/>
      <c r="K10" s="228"/>
      <c r="L10" s="35"/>
      <c r="M10" s="35"/>
    </row>
    <row r="11" spans="1:14">
      <c r="B11" s="365" t="s">
        <v>12</v>
      </c>
      <c r="C11" s="150" t="s">
        <v>128</v>
      </c>
      <c r="D11" s="373">
        <v>0</v>
      </c>
      <c r="E11" s="374">
        <v>0</v>
      </c>
      <c r="F11" s="374">
        <v>0</v>
      </c>
      <c r="G11" s="374">
        <v>0</v>
      </c>
      <c r="H11" s="374">
        <v>0</v>
      </c>
      <c r="I11" s="374">
        <v>0</v>
      </c>
      <c r="J11" s="374">
        <v>0</v>
      </c>
      <c r="K11" s="378">
        <v>0</v>
      </c>
      <c r="L11" s="35"/>
      <c r="M11" s="35"/>
    </row>
    <row r="12" spans="1:14">
      <c r="B12" s="365" t="s">
        <v>13</v>
      </c>
      <c r="C12" s="150" t="s">
        <v>128</v>
      </c>
      <c r="D12" s="343">
        <v>0.75020831999999993</v>
      </c>
      <c r="E12" s="375">
        <v>0.75020831999999982</v>
      </c>
      <c r="F12" s="375">
        <v>0.75019999999999998</v>
      </c>
      <c r="G12" s="375">
        <v>0.75020831999999982</v>
      </c>
      <c r="H12" s="375">
        <v>0.75020831999999982</v>
      </c>
      <c r="I12" s="375">
        <v>0.75020831999999982</v>
      </c>
      <c r="J12" s="375">
        <v>0.75020831999999993</v>
      </c>
      <c r="K12" s="379">
        <v>0.75020831999999993</v>
      </c>
      <c r="L12" s="35"/>
      <c r="M12" s="35"/>
    </row>
    <row r="13" spans="1:14">
      <c r="B13" s="365" t="s">
        <v>14</v>
      </c>
      <c r="C13" s="150" t="s">
        <v>128</v>
      </c>
      <c r="D13" s="343">
        <v>0</v>
      </c>
      <c r="E13" s="375">
        <v>0</v>
      </c>
      <c r="F13" s="375">
        <v>0</v>
      </c>
      <c r="G13" s="375">
        <v>0</v>
      </c>
      <c r="H13" s="375">
        <v>0</v>
      </c>
      <c r="I13" s="375">
        <v>0</v>
      </c>
      <c r="J13" s="375">
        <v>0</v>
      </c>
      <c r="K13" s="379">
        <v>0</v>
      </c>
      <c r="L13" s="35"/>
      <c r="M13" s="35"/>
    </row>
    <row r="14" spans="1:14">
      <c r="B14" s="365" t="s">
        <v>15</v>
      </c>
      <c r="C14" s="150" t="s">
        <v>128</v>
      </c>
      <c r="D14" s="343">
        <v>0</v>
      </c>
      <c r="E14" s="375">
        <v>0</v>
      </c>
      <c r="F14" s="375">
        <v>0</v>
      </c>
      <c r="G14" s="375">
        <v>0</v>
      </c>
      <c r="H14" s="375">
        <v>0</v>
      </c>
      <c r="I14" s="375">
        <v>0</v>
      </c>
      <c r="J14" s="375">
        <v>0</v>
      </c>
      <c r="K14" s="379">
        <v>0</v>
      </c>
      <c r="L14" s="35"/>
      <c r="M14" s="35"/>
    </row>
    <row r="15" spans="1:14">
      <c r="B15" s="365" t="s">
        <v>16</v>
      </c>
      <c r="C15" s="150" t="s">
        <v>128</v>
      </c>
      <c r="D15" s="343">
        <v>0</v>
      </c>
      <c r="E15" s="375">
        <v>0</v>
      </c>
      <c r="F15" s="375">
        <v>0</v>
      </c>
      <c r="G15" s="375">
        <v>0</v>
      </c>
      <c r="H15" s="375">
        <v>0</v>
      </c>
      <c r="I15" s="375">
        <v>0</v>
      </c>
      <c r="J15" s="375">
        <v>0</v>
      </c>
      <c r="K15" s="379">
        <v>0</v>
      </c>
      <c r="L15" s="35"/>
      <c r="M15" s="35"/>
    </row>
    <row r="16" spans="1:14">
      <c r="B16" s="365" t="s">
        <v>17</v>
      </c>
      <c r="C16" s="150" t="s">
        <v>128</v>
      </c>
      <c r="D16" s="343">
        <v>-3.9716999999999985</v>
      </c>
      <c r="E16" s="375">
        <v>-0.11005907999999209</v>
      </c>
      <c r="F16" s="375">
        <v>-0.59240000000000004</v>
      </c>
      <c r="G16" s="375">
        <v>-0.6383599999999916</v>
      </c>
      <c r="H16" s="375">
        <v>1.3000000000000043</v>
      </c>
      <c r="I16" s="375">
        <v>1.5691433030453581</v>
      </c>
      <c r="J16" s="375">
        <v>2.6766454064524154</v>
      </c>
      <c r="K16" s="379">
        <v>3.5534491969075219</v>
      </c>
      <c r="L16" s="35"/>
    </row>
    <row r="17" spans="2:12">
      <c r="B17" s="365" t="s">
        <v>283</v>
      </c>
      <c r="C17" s="150" t="s">
        <v>128</v>
      </c>
      <c r="D17" s="343">
        <v>-1.508472</v>
      </c>
      <c r="E17" s="375">
        <v>-1.508472</v>
      </c>
      <c r="F17" s="375">
        <v>-1.5085</v>
      </c>
      <c r="G17" s="375">
        <v>-1.4585520000000001</v>
      </c>
      <c r="H17" s="375">
        <v>-1.4485680000000001</v>
      </c>
      <c r="I17" s="375">
        <v>-1.4402053788392839</v>
      </c>
      <c r="J17" s="375">
        <v>-1.4402053788392839</v>
      </c>
      <c r="K17" s="379">
        <v>-1.4402053788392848</v>
      </c>
      <c r="L17" s="35"/>
    </row>
    <row r="18" spans="2:12" ht="12.75" customHeight="1">
      <c r="B18" s="365" t="s">
        <v>18</v>
      </c>
      <c r="C18" s="150" t="s">
        <v>128</v>
      </c>
      <c r="D18" s="343">
        <v>-0.4395616699999999</v>
      </c>
      <c r="E18" s="375">
        <v>-0.41923292000000006</v>
      </c>
      <c r="F18" s="375">
        <v>-0.38129999999999997</v>
      </c>
      <c r="G18" s="375">
        <v>-0.38504987000000002</v>
      </c>
      <c r="H18" s="375">
        <v>-0.35298604000000006</v>
      </c>
      <c r="I18" s="375">
        <v>-0.36381713769358115</v>
      </c>
      <c r="J18" s="375">
        <v>-0.42000000000000004</v>
      </c>
      <c r="K18" s="379">
        <v>-0.29366831545248989</v>
      </c>
      <c r="L18" s="35"/>
    </row>
    <row r="19" spans="2:12">
      <c r="B19" s="365" t="s">
        <v>610</v>
      </c>
      <c r="C19" s="150" t="s">
        <v>128</v>
      </c>
      <c r="D19" s="343">
        <v>0.7</v>
      </c>
      <c r="E19" s="375">
        <v>0.77777777000000003</v>
      </c>
      <c r="F19" s="375">
        <v>0.85309999999999997</v>
      </c>
      <c r="G19" s="375">
        <v>0.72799999999999998</v>
      </c>
      <c r="H19" s="375">
        <v>-5.6000000000000001E-2</v>
      </c>
      <c r="I19" s="375">
        <v>0.37933333333333347</v>
      </c>
      <c r="J19" s="375">
        <v>0.37200000000000011</v>
      </c>
      <c r="K19" s="379">
        <v>0.37200000000000011</v>
      </c>
      <c r="L19" s="35"/>
    </row>
    <row r="20" spans="2:12">
      <c r="B20" s="365" t="s">
        <v>608</v>
      </c>
      <c r="C20" s="150" t="s">
        <v>128</v>
      </c>
      <c r="D20" s="343">
        <v>-0.33639999999999998</v>
      </c>
      <c r="E20" s="375">
        <v>-0.20017533000000001</v>
      </c>
      <c r="F20" s="375">
        <v>-0.28910000000000002</v>
      </c>
      <c r="G20" s="375">
        <v>-0.43418776999999997</v>
      </c>
      <c r="H20" s="375">
        <v>-0.35183893999999999</v>
      </c>
      <c r="I20" s="375">
        <v>-0.30370871999999993</v>
      </c>
      <c r="J20" s="375">
        <v>-0.30370871999999999</v>
      </c>
      <c r="K20" s="379">
        <v>-0.30370871999999999</v>
      </c>
      <c r="L20" s="35"/>
    </row>
    <row r="21" spans="2:12">
      <c r="B21" s="365" t="s">
        <v>611</v>
      </c>
      <c r="C21" s="150" t="s">
        <v>128</v>
      </c>
      <c r="D21" s="343">
        <v>0</v>
      </c>
      <c r="E21" s="375">
        <v>0</v>
      </c>
      <c r="F21" s="375">
        <v>0</v>
      </c>
      <c r="G21" s="375">
        <v>0.20973565</v>
      </c>
      <c r="H21" s="375">
        <v>0</v>
      </c>
      <c r="I21" s="375">
        <v>0</v>
      </c>
      <c r="J21" s="375">
        <v>0</v>
      </c>
      <c r="K21" s="379">
        <v>0</v>
      </c>
      <c r="L21" s="35"/>
    </row>
    <row r="22" spans="2:12">
      <c r="B22" s="365" t="s">
        <v>609</v>
      </c>
      <c r="C22" s="150" t="s">
        <v>128</v>
      </c>
      <c r="D22" s="343">
        <v>0</v>
      </c>
      <c r="E22" s="375">
        <v>0</v>
      </c>
      <c r="F22" s="375">
        <v>0</v>
      </c>
      <c r="G22" s="375">
        <v>0</v>
      </c>
      <c r="H22" s="375">
        <v>-0.10159797999999999</v>
      </c>
      <c r="I22" s="375">
        <v>-7.2703000000000004E-2</v>
      </c>
      <c r="J22" s="375">
        <v>-6.9625000000000006E-2</v>
      </c>
      <c r="K22" s="379">
        <v>-6.6475000000000006E-2</v>
      </c>
      <c r="L22" s="35"/>
    </row>
    <row r="23" spans="2:12">
      <c r="B23" s="365" t="s">
        <v>352</v>
      </c>
      <c r="C23" s="150" t="s">
        <v>128</v>
      </c>
      <c r="D23" s="343">
        <v>0</v>
      </c>
      <c r="E23" s="375">
        <v>0</v>
      </c>
      <c r="F23" s="375">
        <v>0</v>
      </c>
      <c r="G23" s="375">
        <v>0</v>
      </c>
      <c r="H23" s="375">
        <v>0</v>
      </c>
      <c r="I23" s="375">
        <v>0</v>
      </c>
      <c r="J23" s="375">
        <v>0</v>
      </c>
      <c r="K23" s="379">
        <v>0</v>
      </c>
      <c r="L23" s="35"/>
    </row>
    <row r="24" spans="2:12">
      <c r="B24" s="365" t="s">
        <v>353</v>
      </c>
      <c r="C24" s="150" t="s">
        <v>128</v>
      </c>
      <c r="D24" s="343">
        <v>0</v>
      </c>
      <c r="E24" s="375">
        <v>0</v>
      </c>
      <c r="F24" s="375">
        <v>0</v>
      </c>
      <c r="G24" s="375">
        <v>0</v>
      </c>
      <c r="H24" s="375">
        <v>0</v>
      </c>
      <c r="I24" s="375">
        <v>0</v>
      </c>
      <c r="J24" s="375">
        <v>0</v>
      </c>
      <c r="K24" s="379">
        <v>0</v>
      </c>
      <c r="L24" s="35"/>
    </row>
    <row r="25" spans="2:12">
      <c r="B25" s="365" t="s">
        <v>354</v>
      </c>
      <c r="C25" s="150" t="s">
        <v>128</v>
      </c>
      <c r="D25" s="343">
        <v>0</v>
      </c>
      <c r="E25" s="375">
        <v>0</v>
      </c>
      <c r="F25" s="375">
        <v>0</v>
      </c>
      <c r="G25" s="375">
        <v>0</v>
      </c>
      <c r="H25" s="375">
        <v>0</v>
      </c>
      <c r="I25" s="375">
        <v>0</v>
      </c>
      <c r="J25" s="375">
        <v>0</v>
      </c>
      <c r="K25" s="379">
        <v>0</v>
      </c>
      <c r="L25" s="35"/>
    </row>
    <row r="26" spans="2:12">
      <c r="B26" s="365" t="s">
        <v>355</v>
      </c>
      <c r="C26" s="150" t="s">
        <v>128</v>
      </c>
      <c r="D26" s="343">
        <v>0</v>
      </c>
      <c r="E26" s="375">
        <v>0</v>
      </c>
      <c r="F26" s="375">
        <v>0</v>
      </c>
      <c r="G26" s="375">
        <v>0</v>
      </c>
      <c r="H26" s="375">
        <v>0</v>
      </c>
      <c r="I26" s="375">
        <v>0</v>
      </c>
      <c r="J26" s="375">
        <v>0</v>
      </c>
      <c r="K26" s="379">
        <v>0</v>
      </c>
      <c r="L26" s="35"/>
    </row>
    <row r="27" spans="2:12">
      <c r="B27" s="365" t="s">
        <v>356</v>
      </c>
      <c r="C27" s="150" t="s">
        <v>128</v>
      </c>
      <c r="D27" s="376">
        <v>0</v>
      </c>
      <c r="E27" s="377">
        <v>0</v>
      </c>
      <c r="F27" s="377">
        <v>0</v>
      </c>
      <c r="G27" s="377">
        <v>0</v>
      </c>
      <c r="H27" s="377">
        <v>0</v>
      </c>
      <c r="I27" s="377">
        <v>0</v>
      </c>
      <c r="J27" s="377">
        <v>0</v>
      </c>
      <c r="K27" s="380">
        <v>0</v>
      </c>
      <c r="L27" s="35"/>
    </row>
    <row r="28" spans="2:12">
      <c r="B28" s="13" t="s">
        <v>19</v>
      </c>
      <c r="C28" s="150" t="s">
        <v>128</v>
      </c>
      <c r="D28" s="140">
        <v>76.494413529999989</v>
      </c>
      <c r="E28" s="141">
        <v>76.439594500000013</v>
      </c>
      <c r="F28" s="141">
        <v>77.000976339999994</v>
      </c>
      <c r="G28" s="141">
        <v>77.446594940000011</v>
      </c>
      <c r="H28" s="141">
        <v>77.869136780000005</v>
      </c>
      <c r="I28" s="141">
        <v>77.932323130864006</v>
      </c>
      <c r="J28" s="141">
        <v>77.2745198649706</v>
      </c>
      <c r="K28" s="142">
        <v>77.546879448229774</v>
      </c>
      <c r="L28" s="35"/>
    </row>
    <row r="29" spans="2:12">
      <c r="B29" s="366" t="s">
        <v>540</v>
      </c>
      <c r="C29" s="150" t="s">
        <v>128</v>
      </c>
      <c r="D29" s="383"/>
      <c r="E29" s="384"/>
      <c r="F29" s="384"/>
      <c r="G29" s="677"/>
      <c r="H29" s="677"/>
      <c r="I29" s="677">
        <v>2.9621964166666657</v>
      </c>
      <c r="J29" s="677">
        <v>5.9391277564102571</v>
      </c>
      <c r="K29" s="678">
        <v>8.9204193269230796</v>
      </c>
      <c r="L29" s="35"/>
    </row>
    <row r="30" spans="2:12">
      <c r="B30" s="342" t="s">
        <v>305</v>
      </c>
      <c r="C30" s="150" t="s">
        <v>128</v>
      </c>
      <c r="D30" s="140">
        <v>76.494413529999989</v>
      </c>
      <c r="E30" s="141">
        <v>76.439594500000013</v>
      </c>
      <c r="F30" s="141">
        <v>77.000976339999994</v>
      </c>
      <c r="G30" s="141">
        <v>77.446594940000011</v>
      </c>
      <c r="H30" s="141">
        <v>77.869136780000005</v>
      </c>
      <c r="I30" s="141">
        <v>80.894519547530678</v>
      </c>
      <c r="J30" s="141">
        <v>83.213647621380858</v>
      </c>
      <c r="K30" s="142">
        <v>86.467298775152855</v>
      </c>
    </row>
    <row r="31" spans="2:12">
      <c r="B31" s="211" t="s">
        <v>21</v>
      </c>
      <c r="C31" s="150" t="s">
        <v>128</v>
      </c>
      <c r="D31" s="582">
        <v>76.105858909999995</v>
      </c>
      <c r="E31" s="583">
        <v>76.541016290000016</v>
      </c>
      <c r="F31" s="583">
        <v>77.011861019999998</v>
      </c>
      <c r="G31" s="583">
        <v>77.518073750000013</v>
      </c>
      <c r="H31" s="583">
        <v>77.922624210000009</v>
      </c>
      <c r="I31" s="583">
        <v>80.886373784930683</v>
      </c>
      <c r="J31" s="583">
        <v>83.275539581380855</v>
      </c>
      <c r="K31" s="679">
        <v>86.529190735152852</v>
      </c>
    </row>
    <row r="32" spans="2:12">
      <c r="B32" s="211" t="s">
        <v>471</v>
      </c>
      <c r="C32" s="150" t="s">
        <v>128</v>
      </c>
      <c r="D32" s="586">
        <v>0.38855462000000002</v>
      </c>
      <c r="E32" s="587">
        <v>-0.10142178999999998</v>
      </c>
      <c r="F32" s="587">
        <v>-1.0884679999999992E-2</v>
      </c>
      <c r="G32" s="587">
        <v>-7.1478810000000031E-2</v>
      </c>
      <c r="H32" s="587">
        <v>-5.3487429999999996E-2</v>
      </c>
      <c r="I32" s="587">
        <v>8.1457626000000088E-3</v>
      </c>
      <c r="J32" s="587">
        <v>-6.1891959999999996E-2</v>
      </c>
      <c r="K32" s="680">
        <v>-6.1891959999999996E-2</v>
      </c>
    </row>
    <row r="33" spans="2:14">
      <c r="B33" s="211"/>
      <c r="D33" s="224" t="s">
        <v>663</v>
      </c>
      <c r="E33" s="225" t="s">
        <v>663</v>
      </c>
      <c r="F33" s="225" t="s">
        <v>663</v>
      </c>
      <c r="G33" s="225" t="s">
        <v>663</v>
      </c>
      <c r="H33" s="225" t="s">
        <v>663</v>
      </c>
      <c r="I33" s="225" t="s">
        <v>663</v>
      </c>
      <c r="J33" s="225" t="s">
        <v>663</v>
      </c>
      <c r="K33" s="226" t="s">
        <v>663</v>
      </c>
    </row>
    <row r="34" spans="2:14">
      <c r="D34" s="23"/>
      <c r="E34" s="23"/>
      <c r="F34" s="23"/>
      <c r="G34" s="23"/>
      <c r="H34" s="23"/>
      <c r="I34" s="23"/>
      <c r="J34" s="23"/>
      <c r="K34" s="23"/>
    </row>
    <row r="35" spans="2:14">
      <c r="B35" s="211" t="s">
        <v>534</v>
      </c>
      <c r="C35" s="150" t="s">
        <v>128</v>
      </c>
      <c r="D35" s="582">
        <v>0</v>
      </c>
      <c r="E35" s="583">
        <v>0</v>
      </c>
      <c r="F35" s="583">
        <v>0</v>
      </c>
      <c r="G35" s="583">
        <v>0.51796799999999998</v>
      </c>
      <c r="H35" s="583">
        <v>0.81956399999999996</v>
      </c>
      <c r="I35" s="583">
        <v>0.62675064000000003</v>
      </c>
      <c r="J35" s="583">
        <v>0.79910706599999992</v>
      </c>
      <c r="K35" s="679">
        <v>0.9173749117679999</v>
      </c>
    </row>
    <row r="36" spans="2:14">
      <c r="D36" s="23"/>
      <c r="E36" s="23"/>
      <c r="F36" s="23"/>
      <c r="G36" s="23"/>
      <c r="H36" s="23"/>
      <c r="I36" s="23"/>
      <c r="J36" s="23"/>
      <c r="K36" s="23"/>
    </row>
    <row r="37" spans="2:14">
      <c r="B37" s="211" t="s">
        <v>82</v>
      </c>
      <c r="C37" s="150" t="s">
        <v>128</v>
      </c>
      <c r="D37" s="874">
        <v>16.164914649813163</v>
      </c>
      <c r="E37" s="874">
        <v>32.168032009405053</v>
      </c>
      <c r="F37" s="874">
        <v>54.405683792981499</v>
      </c>
      <c r="G37" s="874">
        <v>44.877309010934283</v>
      </c>
      <c r="H37" s="874">
        <v>38.812921944346066</v>
      </c>
      <c r="I37" s="874">
        <v>26.422519376474849</v>
      </c>
      <c r="J37" s="874">
        <v>36.175231518676242</v>
      </c>
      <c r="K37" s="874">
        <v>46.690468486918398</v>
      </c>
      <c r="N37" s="319"/>
    </row>
    <row r="38" spans="2:14" s="31" customFormat="1">
      <c r="B38" s="210"/>
      <c r="C38" s="819"/>
      <c r="D38" s="821"/>
      <c r="E38" s="821"/>
      <c r="F38" s="821"/>
      <c r="G38" s="821"/>
      <c r="H38" s="821"/>
      <c r="I38" s="821"/>
      <c r="J38" s="821"/>
      <c r="K38" s="821"/>
      <c r="L38"/>
      <c r="M38"/>
      <c r="N38" s="820"/>
    </row>
    <row r="39" spans="2:14">
      <c r="B39" s="211" t="s">
        <v>485</v>
      </c>
      <c r="C39" s="150" t="s">
        <v>128</v>
      </c>
      <c r="D39" s="100">
        <v>60.329498880186826</v>
      </c>
      <c r="E39" s="100">
        <v>44.27156249059496</v>
      </c>
      <c r="F39" s="100">
        <v>22.595292547018495</v>
      </c>
      <c r="G39" s="100">
        <v>32.569285929065728</v>
      </c>
      <c r="H39" s="100">
        <v>39.05621483565394</v>
      </c>
      <c r="I39" s="100">
        <v>54.472000171055825</v>
      </c>
      <c r="J39" s="100">
        <v>47.038416102704616</v>
      </c>
      <c r="K39" s="100">
        <v>39.776830288234457</v>
      </c>
    </row>
    <row r="40" spans="2:14">
      <c r="B40" s="211"/>
      <c r="C40" s="150"/>
      <c r="D40" s="150"/>
      <c r="E40" s="150"/>
      <c r="F40" s="150"/>
      <c r="G40" s="150"/>
      <c r="H40" s="150"/>
      <c r="I40" s="150"/>
      <c r="J40" s="150"/>
      <c r="K40" s="150"/>
      <c r="L40" s="150"/>
      <c r="N40" s="319"/>
    </row>
    <row r="41" spans="2:14">
      <c r="B41" s="847" t="s">
        <v>375</v>
      </c>
      <c r="C41" s="150" t="s">
        <v>127</v>
      </c>
      <c r="D41" s="501">
        <v>1.0603167467048125</v>
      </c>
      <c r="E41" s="501">
        <v>1.0830366813119445</v>
      </c>
      <c r="F41" s="501">
        <v>1.1235639113109226</v>
      </c>
      <c r="G41" s="501">
        <v>1.1578951670583426</v>
      </c>
      <c r="H41" s="501">
        <v>1.1878696229692449</v>
      </c>
      <c r="I41" s="501">
        <v>1.2080634065597218</v>
      </c>
      <c r="J41" s="501">
        <v>1.2337347539491161</v>
      </c>
      <c r="K41" s="501">
        <v>1.2655034238633056</v>
      </c>
      <c r="L41" s="150"/>
      <c r="N41" s="319"/>
    </row>
    <row r="42" spans="2:14">
      <c r="L42" s="153"/>
      <c r="M42" s="153"/>
      <c r="N42" s="153"/>
    </row>
    <row r="43" spans="2:14">
      <c r="B43" s="830" t="s">
        <v>431</v>
      </c>
      <c r="C43" s="154" t="s">
        <v>159</v>
      </c>
      <c r="D43" s="143">
        <v>56.897619572335486</v>
      </c>
      <c r="E43" s="144">
        <v>40.877251209041482</v>
      </c>
      <c r="F43" s="144">
        <v>20.110375849163177</v>
      </c>
      <c r="G43" s="144">
        <v>28.128009215038606</v>
      </c>
      <c r="H43" s="144">
        <v>32.879210041610051</v>
      </c>
      <c r="I43" s="144">
        <v>45.090348631765259</v>
      </c>
      <c r="J43" s="144">
        <v>38.126846919191721</v>
      </c>
      <c r="K43" s="145">
        <v>31.431625974431963</v>
      </c>
      <c r="L43" s="685">
        <v>178.89246588718879</v>
      </c>
      <c r="M43" s="686">
        <v>293.54128741257773</v>
      </c>
    </row>
    <row r="44" spans="2:14">
      <c r="B44" s="211"/>
      <c r="C44" s="66"/>
      <c r="D44" s="802"/>
      <c r="E44" s="802"/>
      <c r="F44" s="802"/>
      <c r="G44" s="802"/>
      <c r="H44" s="802"/>
      <c r="I44" s="802"/>
      <c r="J44" s="802"/>
      <c r="K44" s="802"/>
      <c r="L44" s="825"/>
      <c r="M44" s="825"/>
    </row>
    <row r="45" spans="2:14">
      <c r="B45" s="830" t="s">
        <v>522</v>
      </c>
      <c r="C45" s="150"/>
      <c r="D45" s="802"/>
      <c r="E45" s="802"/>
      <c r="F45" s="802"/>
      <c r="G45" s="802"/>
      <c r="H45" s="802"/>
      <c r="I45" s="802"/>
      <c r="J45" s="802"/>
      <c r="K45" s="802"/>
      <c r="L45" s="825"/>
      <c r="M45" s="825"/>
    </row>
    <row r="46" spans="2:14">
      <c r="B46" s="365" t="s">
        <v>506</v>
      </c>
      <c r="C46" s="150" t="s">
        <v>128</v>
      </c>
      <c r="D46" s="873">
        <v>1.508472</v>
      </c>
      <c r="E46" s="873">
        <v>1.508472</v>
      </c>
      <c r="F46" s="873">
        <v>1.5085</v>
      </c>
      <c r="G46" s="873">
        <v>1.4585520000000001</v>
      </c>
      <c r="H46" s="873">
        <v>1.4485680000000001</v>
      </c>
      <c r="I46" s="873">
        <v>1.4402053788392839</v>
      </c>
      <c r="J46" s="873">
        <v>1.4402053788392839</v>
      </c>
      <c r="K46" s="873">
        <v>1.4402053788392848</v>
      </c>
      <c r="L46" s="685">
        <v>7.4325640000000002</v>
      </c>
      <c r="M46" s="685">
        <v>11.753180136517852</v>
      </c>
    </row>
    <row r="47" spans="2:14">
      <c r="B47" s="365" t="s">
        <v>543</v>
      </c>
      <c r="C47" s="150" t="s">
        <v>128</v>
      </c>
      <c r="D47" s="383"/>
      <c r="E47" s="384"/>
      <c r="F47" s="384"/>
      <c r="G47" s="677"/>
      <c r="H47" s="677"/>
      <c r="I47" s="677">
        <v>4.4000000000000004E-2</v>
      </c>
      <c r="J47" s="677">
        <v>8.8000000000000009E-2</v>
      </c>
      <c r="K47" s="677">
        <v>0.13200000000000001</v>
      </c>
      <c r="L47" s="685">
        <v>0</v>
      </c>
      <c r="M47" s="685">
        <v>0.26400000000000001</v>
      </c>
    </row>
    <row r="48" spans="2:14">
      <c r="B48" s="365" t="s">
        <v>525</v>
      </c>
      <c r="C48" s="150" t="s">
        <v>128</v>
      </c>
      <c r="D48" s="873">
        <v>0</v>
      </c>
      <c r="E48" s="873">
        <v>0</v>
      </c>
      <c r="F48" s="873">
        <v>0</v>
      </c>
      <c r="G48" s="873">
        <v>0</v>
      </c>
      <c r="H48" s="873">
        <v>0</v>
      </c>
      <c r="I48" s="873">
        <v>0</v>
      </c>
      <c r="J48" s="873">
        <v>0</v>
      </c>
      <c r="K48" s="873">
        <v>0</v>
      </c>
      <c r="L48" s="685">
        <v>0</v>
      </c>
      <c r="M48" s="685">
        <v>0</v>
      </c>
    </row>
    <row r="49" spans="1:14">
      <c r="B49" s="365" t="s">
        <v>526</v>
      </c>
      <c r="C49" s="150" t="s">
        <v>128</v>
      </c>
      <c r="D49" s="873">
        <v>0</v>
      </c>
      <c r="E49" s="873">
        <v>0</v>
      </c>
      <c r="F49" s="873">
        <v>0</v>
      </c>
      <c r="G49" s="873">
        <v>0</v>
      </c>
      <c r="H49" s="873">
        <v>0</v>
      </c>
      <c r="I49" s="873">
        <v>0</v>
      </c>
      <c r="J49" s="873">
        <v>0</v>
      </c>
      <c r="K49" s="873">
        <v>0</v>
      </c>
      <c r="L49" s="685">
        <v>0</v>
      </c>
      <c r="M49" s="685">
        <v>0</v>
      </c>
    </row>
    <row r="50" spans="1:14">
      <c r="B50" s="365" t="s">
        <v>507</v>
      </c>
      <c r="C50" s="150" t="s">
        <v>128</v>
      </c>
      <c r="D50" s="873">
        <v>0</v>
      </c>
      <c r="E50" s="873">
        <v>0</v>
      </c>
      <c r="F50" s="873">
        <v>0</v>
      </c>
      <c r="G50" s="873">
        <v>0</v>
      </c>
      <c r="H50" s="873">
        <v>0</v>
      </c>
      <c r="I50" s="873">
        <v>0</v>
      </c>
      <c r="J50" s="873">
        <v>0</v>
      </c>
      <c r="K50" s="873">
        <v>0</v>
      </c>
      <c r="L50" s="685">
        <v>0</v>
      </c>
      <c r="M50" s="685">
        <v>0</v>
      </c>
    </row>
    <row r="51" spans="1:14">
      <c r="B51" s="365" t="s">
        <v>507</v>
      </c>
      <c r="C51" s="150" t="s">
        <v>128</v>
      </c>
      <c r="D51" s="873">
        <v>0</v>
      </c>
      <c r="E51" s="873">
        <v>0</v>
      </c>
      <c r="F51" s="873">
        <v>0</v>
      </c>
      <c r="G51" s="873">
        <v>0</v>
      </c>
      <c r="H51" s="873">
        <v>0</v>
      </c>
      <c r="I51" s="873">
        <v>0</v>
      </c>
      <c r="J51" s="873">
        <v>0</v>
      </c>
      <c r="K51" s="873">
        <v>0</v>
      </c>
      <c r="L51" s="685">
        <v>0</v>
      </c>
      <c r="M51" s="685">
        <v>0</v>
      </c>
    </row>
    <row r="52" spans="1:14">
      <c r="B52" s="365" t="s">
        <v>507</v>
      </c>
      <c r="C52" s="150" t="s">
        <v>128</v>
      </c>
      <c r="D52" s="873">
        <v>0</v>
      </c>
      <c r="E52" s="873">
        <v>0</v>
      </c>
      <c r="F52" s="873">
        <v>0</v>
      </c>
      <c r="G52" s="873">
        <v>0</v>
      </c>
      <c r="H52" s="873">
        <v>0</v>
      </c>
      <c r="I52" s="873">
        <v>0</v>
      </c>
      <c r="J52" s="873">
        <v>0</v>
      </c>
      <c r="K52" s="873">
        <v>0</v>
      </c>
      <c r="L52" s="685">
        <v>0</v>
      </c>
      <c r="M52" s="685">
        <v>0</v>
      </c>
    </row>
    <row r="53" spans="1:14">
      <c r="B53" s="365" t="s">
        <v>507</v>
      </c>
      <c r="C53" s="150" t="s">
        <v>128</v>
      </c>
      <c r="D53" s="873">
        <v>0</v>
      </c>
      <c r="E53" s="873">
        <v>0</v>
      </c>
      <c r="F53" s="873">
        <v>0</v>
      </c>
      <c r="G53" s="873">
        <v>0</v>
      </c>
      <c r="H53" s="873">
        <v>0</v>
      </c>
      <c r="I53" s="873">
        <v>0</v>
      </c>
      <c r="J53" s="873">
        <v>0</v>
      </c>
      <c r="K53" s="873">
        <v>0</v>
      </c>
      <c r="L53" s="685">
        <v>0</v>
      </c>
      <c r="M53" s="685">
        <v>0</v>
      </c>
    </row>
    <row r="54" spans="1:14" s="859" customFormat="1">
      <c r="B54" s="858"/>
      <c r="C54" s="860"/>
      <c r="D54" s="861"/>
      <c r="E54" s="861"/>
      <c r="F54" s="861"/>
      <c r="G54" s="861"/>
      <c r="H54" s="861"/>
      <c r="I54" s="861"/>
      <c r="J54" s="861"/>
      <c r="K54" s="861"/>
      <c r="L54" s="862"/>
      <c r="M54" s="862"/>
    </row>
    <row r="55" spans="1:14">
      <c r="B55" s="853" t="s">
        <v>523</v>
      </c>
      <c r="C55" s="233" t="s">
        <v>128</v>
      </c>
      <c r="D55" s="143">
        <v>1.508472</v>
      </c>
      <c r="E55" s="143">
        <v>1.508472</v>
      </c>
      <c r="F55" s="143">
        <v>1.5085</v>
      </c>
      <c r="G55" s="143">
        <v>1.4585520000000001</v>
      </c>
      <c r="H55" s="143">
        <v>1.4485680000000001</v>
      </c>
      <c r="I55" s="143">
        <v>1.4842053788392839</v>
      </c>
      <c r="J55" s="143">
        <v>1.528205378839284</v>
      </c>
      <c r="K55" s="143">
        <v>1.5722053788392847</v>
      </c>
      <c r="L55" s="685">
        <v>7.4325640000000002</v>
      </c>
      <c r="M55" s="686">
        <v>12.017180136517851</v>
      </c>
    </row>
    <row r="56" spans="1:14">
      <c r="B56" s="853" t="s">
        <v>523</v>
      </c>
      <c r="C56" s="154" t="s">
        <v>159</v>
      </c>
      <c r="D56" s="143">
        <v>1.4226616760396713</v>
      </c>
      <c r="E56" s="143">
        <v>1.3928170910819948</v>
      </c>
      <c r="F56" s="143">
        <v>1.3426027525572193</v>
      </c>
      <c r="G56" s="143">
        <v>1.2596580774280997</v>
      </c>
      <c r="H56" s="143">
        <v>1.219467163727197</v>
      </c>
      <c r="I56" s="143">
        <v>1.2285823498833965</v>
      </c>
      <c r="J56" s="143">
        <v>1.2386822807314002</v>
      </c>
      <c r="K56" s="143">
        <v>1.2423556895955958</v>
      </c>
      <c r="L56" s="685">
        <v>6.6372067608341823</v>
      </c>
      <c r="M56" s="686">
        <v>10.346827081044575</v>
      </c>
    </row>
    <row r="57" spans="1:14">
      <c r="B57" s="211"/>
      <c r="C57" s="66"/>
      <c r="D57" s="802"/>
      <c r="E57" s="802"/>
      <c r="F57" s="802"/>
      <c r="G57" s="802"/>
      <c r="H57" s="802"/>
      <c r="I57" s="802"/>
      <c r="J57" s="802"/>
      <c r="K57" s="802"/>
      <c r="L57" s="825"/>
      <c r="M57" s="825"/>
    </row>
    <row r="58" spans="1:14" s="2" customFormat="1">
      <c r="A58" s="1"/>
    </row>
    <row r="59" spans="1:14" s="2" customFormat="1">
      <c r="A59" s="1"/>
      <c r="B59" s="826" t="s">
        <v>441</v>
      </c>
      <c r="C59" s="81"/>
      <c r="D59" s="81"/>
      <c r="E59" s="81"/>
      <c r="F59" s="81"/>
      <c r="G59" s="81"/>
      <c r="H59" s="81"/>
      <c r="I59" s="81"/>
      <c r="J59" s="81"/>
      <c r="K59" s="81"/>
      <c r="L59" s="81"/>
      <c r="M59" s="81"/>
      <c r="N59" s="81"/>
    </row>
    <row r="60" spans="1:14" s="2" customFormat="1">
      <c r="A60" s="1"/>
      <c r="B60" s="364" t="s">
        <v>442</v>
      </c>
    </row>
    <row r="61" spans="1:14" s="2" customFormat="1">
      <c r="A61" s="1"/>
    </row>
    <row r="62" spans="1:14" s="31" customFormat="1">
      <c r="B62" s="211" t="s">
        <v>115</v>
      </c>
      <c r="C62" s="153" t="s">
        <v>7</v>
      </c>
      <c r="D62" s="882">
        <v>0.65</v>
      </c>
      <c r="E62" s="883">
        <v>0.65</v>
      </c>
      <c r="F62" s="883">
        <v>0.65</v>
      </c>
      <c r="G62" s="883">
        <v>0.65</v>
      </c>
      <c r="H62" s="883">
        <v>0.65</v>
      </c>
      <c r="I62" s="883">
        <v>0.65</v>
      </c>
      <c r="J62" s="883">
        <v>0.65</v>
      </c>
      <c r="K62" s="884">
        <v>0.65</v>
      </c>
      <c r="N62" s="820"/>
    </row>
    <row r="63" spans="1:14" s="31" customFormat="1">
      <c r="B63" s="211" t="s">
        <v>404</v>
      </c>
      <c r="C63" s="153" t="s">
        <v>7</v>
      </c>
      <c r="D63" s="883">
        <v>0.63017300228227524</v>
      </c>
      <c r="E63" s="883">
        <v>0.63039005719049312</v>
      </c>
      <c r="F63" s="883">
        <v>0.63080325510938995</v>
      </c>
      <c r="G63" s="883">
        <v>0.61214994914892917</v>
      </c>
      <c r="H63" s="883">
        <v>0.60016668907173409</v>
      </c>
      <c r="I63" s="883">
        <v>0.61303936064862341</v>
      </c>
      <c r="J63" s="883">
        <v>0.63644457639975072</v>
      </c>
      <c r="K63" s="884">
        <v>0.65503741146706362</v>
      </c>
      <c r="N63" s="820"/>
    </row>
    <row r="64" spans="1:14" s="31" customFormat="1">
      <c r="B64" s="211"/>
      <c r="C64" s="153"/>
      <c r="D64" s="153"/>
      <c r="E64" s="153"/>
      <c r="F64" s="153"/>
      <c r="G64" s="153"/>
      <c r="H64" s="153"/>
      <c r="I64" s="153"/>
      <c r="J64" s="153"/>
      <c r="K64" s="153"/>
      <c r="N64" s="820"/>
    </row>
    <row r="65" spans="2:15">
      <c r="B65" s="211" t="s">
        <v>431</v>
      </c>
      <c r="C65" s="150" t="s">
        <v>128</v>
      </c>
      <c r="D65" s="93">
        <v>60.329498880186826</v>
      </c>
      <c r="E65" s="94">
        <v>44.27156249059496</v>
      </c>
      <c r="F65" s="94">
        <v>22.595292547018495</v>
      </c>
      <c r="G65" s="94">
        <v>32.569285929065728</v>
      </c>
      <c r="H65" s="94">
        <v>39.05621483565394</v>
      </c>
      <c r="I65" s="94">
        <v>54.472000171055825</v>
      </c>
      <c r="J65" s="94">
        <v>47.038416102704616</v>
      </c>
      <c r="K65" s="95">
        <v>39.776830288234457</v>
      </c>
      <c r="L65" s="31"/>
      <c r="M65" s="31"/>
    </row>
    <row r="66" spans="2:15" s="31" customFormat="1">
      <c r="B66" s="211" t="s">
        <v>449</v>
      </c>
      <c r="C66" s="150" t="s">
        <v>128</v>
      </c>
      <c r="D66" s="93">
        <v>1.8981340556908655</v>
      </c>
      <c r="E66" s="93">
        <v>1.3771835368046326</v>
      </c>
      <c r="F66" s="93">
        <v>0.68762496585182953</v>
      </c>
      <c r="G66" s="93">
        <v>2.0138025500322145</v>
      </c>
      <c r="H66" s="93">
        <v>3.2429332267617181</v>
      </c>
      <c r="I66" s="93">
        <v>3.2841609891742278</v>
      </c>
      <c r="J66" s="93">
        <v>1.0018557458119597</v>
      </c>
      <c r="K66" s="93">
        <v>-0.30589437719080581</v>
      </c>
      <c r="N66" s="820"/>
    </row>
    <row r="67" spans="2:15">
      <c r="B67" s="211" t="s">
        <v>448</v>
      </c>
      <c r="C67" s="150" t="s">
        <v>128</v>
      </c>
      <c r="D67" s="100">
        <v>62.227632935877693</v>
      </c>
      <c r="E67" s="101">
        <v>45.648746027399589</v>
      </c>
      <c r="F67" s="101">
        <v>23.282917512870323</v>
      </c>
      <c r="G67" s="101">
        <v>34.583088479097945</v>
      </c>
      <c r="H67" s="101">
        <v>42.299148062415661</v>
      </c>
      <c r="I67" s="101">
        <v>57.75616116023005</v>
      </c>
      <c r="J67" s="101">
        <v>48.040271848516575</v>
      </c>
      <c r="K67" s="102">
        <v>39.470935911043654</v>
      </c>
      <c r="L67" s="31"/>
      <c r="M67" s="31"/>
    </row>
    <row r="68" spans="2:15">
      <c r="B68" s="211"/>
      <c r="C68" s="150"/>
      <c r="D68" s="150"/>
      <c r="E68" s="150"/>
      <c r="F68" s="150"/>
      <c r="G68" s="150"/>
      <c r="H68" s="150"/>
      <c r="I68" s="150"/>
      <c r="J68" s="150"/>
      <c r="K68" s="150"/>
      <c r="L68" s="150"/>
      <c r="M68" s="150"/>
      <c r="N68" s="150"/>
      <c r="O68" s="150"/>
    </row>
    <row r="69" spans="2:15">
      <c r="B69" s="830" t="s">
        <v>448</v>
      </c>
      <c r="C69" s="154" t="s">
        <v>159</v>
      </c>
      <c r="D69" s="143">
        <v>58.687777147031703</v>
      </c>
      <c r="E69" s="144">
        <v>42.148845754792575</v>
      </c>
      <c r="F69" s="144">
        <v>20.722379277654877</v>
      </c>
      <c r="G69" s="144">
        <v>29.867201680232434</v>
      </c>
      <c r="H69" s="144">
        <v>35.60925142330273</v>
      </c>
      <c r="I69" s="144">
        <v>47.808882254538197</v>
      </c>
      <c r="J69" s="144">
        <v>38.938898085461517</v>
      </c>
      <c r="K69" s="145">
        <v>31.18990843228816</v>
      </c>
      <c r="L69" s="685">
        <v>187.03545528301433</v>
      </c>
      <c r="M69" s="686">
        <v>304.97314405530221</v>
      </c>
    </row>
    <row r="70" spans="2:15">
      <c r="B70" s="367" t="s">
        <v>524</v>
      </c>
      <c r="C70" s="157" t="s">
        <v>159</v>
      </c>
      <c r="D70" s="93">
        <v>1.4674225745576599</v>
      </c>
      <c r="E70" s="93">
        <v>1.4361443345698599</v>
      </c>
      <c r="F70" s="93">
        <v>1.3834611379912043</v>
      </c>
      <c r="G70" s="93">
        <v>1.3375444226804394</v>
      </c>
      <c r="H70" s="93">
        <v>1.3207225106889218</v>
      </c>
      <c r="I70" s="93">
        <v>1.3026545743804696</v>
      </c>
      <c r="J70" s="93">
        <v>1.2650645670200507</v>
      </c>
      <c r="K70" s="93">
        <v>1.2328016447618448</v>
      </c>
      <c r="L70" s="681">
        <v>6.9452949804880859</v>
      </c>
      <c r="M70" s="682">
        <v>10.74581576665045</v>
      </c>
      <c r="N70" s="153"/>
    </row>
    <row r="72" spans="2:15">
      <c r="B72" s="822" t="s">
        <v>318</v>
      </c>
      <c r="C72" s="823"/>
      <c r="D72" s="823"/>
      <c r="E72" s="823"/>
      <c r="F72" s="823"/>
      <c r="G72" s="823"/>
      <c r="H72" s="823"/>
      <c r="I72" s="823"/>
      <c r="J72" s="823"/>
      <c r="K72" s="823"/>
      <c r="L72" s="823"/>
      <c r="M72" s="823"/>
      <c r="N72" s="823"/>
      <c r="O72" s="153"/>
    </row>
    <row r="73" spans="2:15" s="31" customFormat="1">
      <c r="B73" s="824"/>
      <c r="C73" s="66"/>
      <c r="D73" s="66"/>
      <c r="E73" s="66"/>
      <c r="F73" s="66"/>
      <c r="G73" s="66"/>
      <c r="H73" s="66"/>
      <c r="I73" s="66"/>
      <c r="J73" s="66"/>
      <c r="K73" s="66"/>
      <c r="L73" s="66"/>
      <c r="M73" s="66"/>
      <c r="N73" s="66"/>
      <c r="O73" s="66"/>
    </row>
    <row r="74" spans="2:15">
      <c r="B74" s="364" t="s">
        <v>478</v>
      </c>
      <c r="C74" s="363"/>
      <c r="D74" s="363"/>
      <c r="E74" s="363"/>
      <c r="F74" s="363"/>
      <c r="G74" s="363"/>
      <c r="H74" s="363"/>
      <c r="I74" s="363"/>
      <c r="J74" s="363"/>
      <c r="K74" s="363"/>
      <c r="L74" s="363"/>
      <c r="M74" s="363"/>
      <c r="N74" s="363"/>
      <c r="O74" s="153"/>
    </row>
    <row r="75" spans="2:15">
      <c r="B75" s="364" t="s">
        <v>347</v>
      </c>
      <c r="C75" s="363"/>
      <c r="D75" s="363"/>
      <c r="E75" s="363"/>
      <c r="F75" s="363"/>
      <c r="G75" s="363"/>
      <c r="H75" s="363"/>
      <c r="I75" s="363"/>
      <c r="J75" s="363"/>
      <c r="K75" s="363"/>
      <c r="L75" s="363"/>
      <c r="M75" s="363"/>
      <c r="N75" s="363"/>
      <c r="O75" s="153"/>
    </row>
    <row r="76" spans="2:15">
      <c r="B76" s="364" t="s">
        <v>348</v>
      </c>
      <c r="C76" s="363"/>
      <c r="D76" s="363"/>
      <c r="E76" s="363"/>
      <c r="F76" s="363"/>
      <c r="G76" s="363"/>
      <c r="H76" s="363"/>
      <c r="I76" s="363"/>
      <c r="J76" s="363"/>
      <c r="K76" s="363"/>
      <c r="L76" s="363"/>
      <c r="M76" s="363"/>
      <c r="N76" s="363"/>
      <c r="O76" s="153"/>
    </row>
    <row r="77" spans="2:15">
      <c r="B77" s="364" t="s">
        <v>530</v>
      </c>
      <c r="C77" s="363"/>
      <c r="D77" s="363"/>
      <c r="E77" s="363"/>
      <c r="F77" s="363"/>
      <c r="G77" s="363"/>
      <c r="H77" s="363"/>
      <c r="I77" s="363"/>
      <c r="J77" s="363"/>
      <c r="K77" s="363"/>
      <c r="L77" s="363"/>
      <c r="M77" s="363"/>
      <c r="N77" s="363"/>
      <c r="O77" s="153"/>
    </row>
    <row r="78" spans="2:15" s="31" customFormat="1">
      <c r="B78" s="368"/>
      <c r="C78" s="368"/>
      <c r="D78" s="368"/>
      <c r="E78" s="368"/>
      <c r="F78" s="368"/>
      <c r="G78" s="368"/>
      <c r="H78" s="368"/>
      <c r="I78" s="368"/>
      <c r="J78" s="368"/>
      <c r="K78" s="368"/>
      <c r="L78" s="368"/>
      <c r="M78" s="368"/>
      <c r="N78" s="368"/>
      <c r="O78" s="66"/>
    </row>
    <row r="79" spans="2:15">
      <c r="B79" s="367" t="s">
        <v>233</v>
      </c>
      <c r="C79" s="153" t="s">
        <v>159</v>
      </c>
      <c r="D79" s="593">
        <v>32.292323501816284</v>
      </c>
      <c r="E79" s="593">
        <v>30.809423861883161</v>
      </c>
      <c r="F79" s="593">
        <v>29.219378796025442</v>
      </c>
      <c r="G79" s="593">
        <v>25.427800564935644</v>
      </c>
      <c r="H79" s="593">
        <v>21.315486110525132</v>
      </c>
      <c r="I79" s="593">
        <v>14.946173388090116</v>
      </c>
      <c r="J79" s="891"/>
      <c r="K79" s="894"/>
      <c r="L79" s="892"/>
      <c r="M79" s="892"/>
      <c r="O79" s="66"/>
    </row>
    <row r="80" spans="2:15">
      <c r="B80" s="367" t="s">
        <v>317</v>
      </c>
      <c r="C80" s="153" t="s">
        <v>159</v>
      </c>
      <c r="D80" s="683">
        <v>32.292323501816284</v>
      </c>
      <c r="E80" s="684">
        <v>30.811014112518372</v>
      </c>
      <c r="F80" s="684">
        <v>29.218799564451615</v>
      </c>
      <c r="G80" s="684">
        <v>25.423699277768222</v>
      </c>
      <c r="H80" s="684">
        <v>21.259866067888339</v>
      </c>
      <c r="I80" s="684">
        <v>14.859833535324992</v>
      </c>
      <c r="J80" s="684">
        <v>10.705797228062941</v>
      </c>
      <c r="K80" s="893">
        <v>6.5639385409664648</v>
      </c>
      <c r="L80" s="895">
        <v>139.00570252444282</v>
      </c>
      <c r="M80" s="895">
        <v>171.13527182879722</v>
      </c>
      <c r="O80" s="66"/>
    </row>
    <row r="81" spans="2:15" s="31" customFormat="1">
      <c r="B81" s="827"/>
      <c r="C81" s="66"/>
      <c r="D81" s="828"/>
      <c r="E81" s="828"/>
      <c r="F81" s="828"/>
      <c r="G81" s="828"/>
      <c r="H81" s="828"/>
      <c r="I81" s="828"/>
      <c r="J81" s="828"/>
      <c r="K81" s="828"/>
      <c r="L81" s="825"/>
      <c r="M81" s="825"/>
      <c r="O81" s="66"/>
    </row>
    <row r="82" spans="2:15" s="31" customFormat="1">
      <c r="B82" s="827"/>
      <c r="C82" s="66"/>
      <c r="D82" s="828"/>
      <c r="E82" s="829"/>
      <c r="F82" s="829"/>
      <c r="G82" s="829"/>
      <c r="H82" s="829"/>
      <c r="I82" s="829"/>
      <c r="J82" s="829"/>
      <c r="K82" s="829"/>
      <c r="L82" s="825"/>
      <c r="M82" s="825"/>
      <c r="O82" s="66"/>
    </row>
    <row r="83" spans="2:15">
      <c r="B83" s="831" t="s">
        <v>432</v>
      </c>
      <c r="C83" s="823"/>
      <c r="D83" s="823"/>
      <c r="E83" s="823"/>
      <c r="F83" s="823"/>
      <c r="G83" s="823"/>
      <c r="H83" s="823"/>
      <c r="I83" s="823"/>
      <c r="J83" s="823"/>
      <c r="K83" s="823"/>
      <c r="L83" s="823"/>
      <c r="M83" s="823"/>
      <c r="N83" s="823"/>
    </row>
    <row r="84" spans="2:15">
      <c r="B84" s="367"/>
      <c r="C84" s="153"/>
      <c r="D84" s="153"/>
      <c r="E84" s="153"/>
      <c r="F84" s="153"/>
      <c r="G84" s="153"/>
      <c r="H84" s="153"/>
      <c r="I84" s="153"/>
      <c r="J84" s="153"/>
      <c r="K84" s="153"/>
      <c r="L84" s="153"/>
      <c r="M84" s="153"/>
      <c r="N84" s="153"/>
    </row>
    <row r="85" spans="2:15">
      <c r="B85" s="848" t="s">
        <v>486</v>
      </c>
      <c r="C85" s="153"/>
      <c r="D85" s="153"/>
      <c r="E85" s="153"/>
      <c r="F85" s="153"/>
      <c r="G85" s="153"/>
      <c r="H85" s="153"/>
      <c r="I85" s="153"/>
      <c r="J85" s="153"/>
      <c r="K85" s="153"/>
      <c r="L85" s="153"/>
      <c r="M85" s="153"/>
      <c r="N85" s="153"/>
    </row>
    <row r="86" spans="2:15">
      <c r="B86" s="211" t="s">
        <v>487</v>
      </c>
      <c r="C86" s="153" t="s">
        <v>159</v>
      </c>
      <c r="D86" s="143">
        <v>-26.027957746558872</v>
      </c>
      <c r="E86" s="143">
        <v>-11.459054187605105</v>
      </c>
      <c r="F86" s="143">
        <v>7.7658209627312189</v>
      </c>
      <c r="G86" s="143">
        <v>-3.9639680146984837</v>
      </c>
      <c r="H86" s="143">
        <v>-12.838811137448909</v>
      </c>
      <c r="I86" s="143">
        <v>-31.459097446323664</v>
      </c>
      <c r="J86" s="143">
        <v>-28.659731971860179</v>
      </c>
      <c r="K86" s="143">
        <v>-26.110043123061093</v>
      </c>
      <c r="L86" s="685">
        <v>-46.523970123580149</v>
      </c>
      <c r="M86" s="686">
        <v>-132.7528426648251</v>
      </c>
    </row>
    <row r="87" spans="2:15">
      <c r="B87" s="211"/>
    </row>
    <row r="88" spans="2:15">
      <c r="B88" s="211" t="s">
        <v>488</v>
      </c>
      <c r="C88" s="153" t="s">
        <v>159</v>
      </c>
      <c r="D88" s="143">
        <v>-27.862876219773078</v>
      </c>
      <c r="E88" s="143">
        <v>-12.773975976844063</v>
      </c>
      <c r="F88" s="143">
        <v>7.1129591488055333</v>
      </c>
      <c r="G88" s="143">
        <v>-5.7810468251446512</v>
      </c>
      <c r="H88" s="143">
        <v>-15.670107866103313</v>
      </c>
      <c r="I88" s="143">
        <v>-34.251703293593678</v>
      </c>
      <c r="J88" s="143">
        <v>-29.498165424418627</v>
      </c>
      <c r="K88" s="143">
        <v>-25.858771536083541</v>
      </c>
      <c r="L88" s="685">
        <v>-54.975047739059576</v>
      </c>
      <c r="M88" s="686">
        <v>-144.58368799315542</v>
      </c>
    </row>
    <row r="89" spans="2:15">
      <c r="B89" s="211"/>
    </row>
    <row r="90" spans="2:15">
      <c r="B90" s="211" t="s">
        <v>489</v>
      </c>
      <c r="C90" s="153" t="s">
        <v>159</v>
      </c>
      <c r="D90" s="143">
        <v>1.8349184732142056</v>
      </c>
      <c r="E90" s="143">
        <v>1.3149217892389586</v>
      </c>
      <c r="F90" s="143">
        <v>0.65286181392568565</v>
      </c>
      <c r="G90" s="143">
        <v>1.8170788104461675</v>
      </c>
      <c r="H90" s="143">
        <v>2.8312967286544044</v>
      </c>
      <c r="I90" s="143">
        <v>2.7926058472700142</v>
      </c>
      <c r="J90" s="143">
        <v>0.83843345255844781</v>
      </c>
      <c r="K90" s="143">
        <v>-0.25127158697755192</v>
      </c>
      <c r="L90" s="685">
        <v>8.4510776154794218</v>
      </c>
      <c r="M90" s="686">
        <v>11.830845328330332</v>
      </c>
    </row>
    <row r="91" spans="2:15">
      <c r="B91" s="198"/>
    </row>
  </sheetData>
  <conditionalFormatting sqref="D6:K6">
    <cfRule type="expression" dxfId="40" priority="22">
      <formula>AND(D$5="Actuals",E$5="Forecast")</formula>
    </cfRule>
  </conditionalFormatting>
  <conditionalFormatting sqref="D5:K5">
    <cfRule type="expression" dxfId="39" priority="15">
      <formula>AND(D$5="Actuals",E$5="Forecast")</formula>
    </cfRule>
  </conditionalFormatting>
  <conditionalFormatting sqref="D29:G29 I29:K29">
    <cfRule type="expression" dxfId="38" priority="13">
      <formula>D$5="Forecast"</formula>
    </cfRule>
    <cfRule type="expression" dxfId="37" priority="14">
      <formula>D$5="Actuals"</formula>
    </cfRule>
  </conditionalFormatting>
  <conditionalFormatting sqref="D47:G47">
    <cfRule type="expression" dxfId="36" priority="7">
      <formula>D$5="Forecast"</formula>
    </cfRule>
    <cfRule type="expression" dxfId="35" priority="8">
      <formula>D$5="Actuals"</formula>
    </cfRule>
  </conditionalFormatting>
  <conditionalFormatting sqref="I47:K47">
    <cfRule type="expression" dxfId="34" priority="5">
      <formula>I$5="Forecast"</formula>
    </cfRule>
    <cfRule type="expression" dxfId="33" priority="6">
      <formula>I$5="Actuals"</formula>
    </cfRule>
  </conditionalFormatting>
  <conditionalFormatting sqref="H47">
    <cfRule type="expression" dxfId="32" priority="3">
      <formula>H$5="Forecast"</formula>
    </cfRule>
    <cfRule type="expression" dxfId="31" priority="4">
      <formula>H$5="Actuals"</formula>
    </cfRule>
  </conditionalFormatting>
  <conditionalFormatting sqref="H29">
    <cfRule type="expression" dxfId="30" priority="1">
      <formula>H$5="Forecast"</formula>
    </cfRule>
    <cfRule type="expression" dxfId="29" priority="2">
      <formula>H$5="Actuals"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2"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6"/>
  <sheetViews>
    <sheetView showGridLines="0" zoomScale="70" zoomScaleNormal="70" workbookViewId="0">
      <pane ySplit="6" topLeftCell="A7" activePane="bottomLeft" state="frozen"/>
      <selection activeCell="B3" sqref="B3"/>
      <selection pane="bottomLeft" activeCell="H6" sqref="H6"/>
    </sheetView>
  </sheetViews>
  <sheetFormatPr defaultRowHeight="12.6"/>
  <cols>
    <col min="1" max="1" width="8.36328125" customWidth="1"/>
    <col min="2" max="2" width="85.7265625" bestFit="1" customWidth="1"/>
    <col min="3" max="3" width="14.08984375" customWidth="1"/>
    <col min="4" max="11" width="11.08984375" customWidth="1"/>
    <col min="12" max="12" width="5" customWidth="1"/>
    <col min="13" max="13" width="12.90625" customWidth="1"/>
  </cols>
  <sheetData>
    <row r="1" spans="1:12" s="31" customFormat="1" ht="21">
      <c r="A1" s="901" t="s">
        <v>237</v>
      </c>
      <c r="B1" s="911"/>
      <c r="C1" s="254"/>
      <c r="D1" s="254"/>
      <c r="E1" s="254"/>
      <c r="F1" s="254"/>
      <c r="G1" s="254"/>
      <c r="H1" s="254"/>
      <c r="I1" s="255"/>
      <c r="J1" s="255"/>
      <c r="K1" s="256"/>
      <c r="L1" s="359"/>
    </row>
    <row r="2" spans="1:12" s="31" customFormat="1" ht="21">
      <c r="A2" s="904" t="str">
        <f>'RFPR cover'!C5</f>
        <v>WPD-WMID</v>
      </c>
      <c r="B2" s="896"/>
      <c r="C2" s="29"/>
      <c r="D2" s="29"/>
      <c r="E2" s="29"/>
      <c r="F2" s="29"/>
      <c r="G2" s="29"/>
      <c r="H2" s="29"/>
      <c r="I2" s="27"/>
      <c r="J2" s="27"/>
      <c r="K2" s="27"/>
      <c r="L2" s="121"/>
    </row>
    <row r="3" spans="1:12" s="31" customFormat="1" ht="22.8">
      <c r="A3" s="907">
        <f>'RFPR cover'!C7</f>
        <v>2020</v>
      </c>
      <c r="B3" s="913" t="str">
        <f>'R1 - RoRE'!B3</f>
        <v/>
      </c>
      <c r="C3" s="258"/>
      <c r="D3" s="258"/>
      <c r="E3" s="258"/>
      <c r="F3" s="258"/>
      <c r="G3" s="258"/>
      <c r="H3" s="258"/>
      <c r="I3" s="253"/>
      <c r="J3" s="253"/>
      <c r="K3" s="253"/>
      <c r="L3" s="259"/>
    </row>
    <row r="4" spans="1:12" s="31" customFormat="1" ht="12.75" customHeight="1">
      <c r="A4" s="39"/>
      <c r="B4" s="39"/>
      <c r="C4" s="39"/>
      <c r="D4" s="39"/>
      <c r="E4" s="39"/>
      <c r="F4" s="39"/>
      <c r="G4" s="39"/>
      <c r="H4" s="39"/>
      <c r="I4" s="34"/>
      <c r="J4" s="34"/>
      <c r="K4" s="34"/>
      <c r="L4" s="33"/>
    </row>
    <row r="5" spans="1:12" s="2" customFormat="1">
      <c r="B5" s="3"/>
      <c r="C5" s="3"/>
      <c r="D5" s="385" t="str">
        <f>IF(D6&lt;='RFPR cover'!$C$7,"Actuals","Forecast")</f>
        <v>Actuals</v>
      </c>
      <c r="E5" s="386" t="str">
        <f>IF(E6&lt;='RFPR cover'!$C$7,"Actuals","Forecast")</f>
        <v>Actuals</v>
      </c>
      <c r="F5" s="386" t="str">
        <f>IF(F6&lt;='RFPR cover'!$C$7,"Actuals","Forecast")</f>
        <v>Actuals</v>
      </c>
      <c r="G5" s="386" t="str">
        <f>IF(G6&lt;='RFPR cover'!$C$7,"Actuals","Forecast")</f>
        <v>Actuals</v>
      </c>
      <c r="H5" s="386" t="str">
        <f>IF(H6&lt;='RFPR cover'!$C$7,"Actuals","Forecast")</f>
        <v>Actuals</v>
      </c>
      <c r="I5" s="386" t="str">
        <f>IF(I6&lt;='RFPR cover'!$C$7,"Actuals","Forecast")</f>
        <v>Forecast</v>
      </c>
      <c r="J5" s="386" t="str">
        <f>IF(J6&lt;='RFPR cover'!$C$7,"Actuals","Forecast")</f>
        <v>Forecast</v>
      </c>
      <c r="K5" s="387" t="str">
        <f>IF(K6&lt;='RFPR cover'!$C$7,"Actuals","Forecast")</f>
        <v>Forecast</v>
      </c>
    </row>
    <row r="6" spans="1:12" s="2" customFormat="1">
      <c r="D6" s="115">
        <f>'RFPR cover'!$C$13</f>
        <v>2016</v>
      </c>
      <c r="E6" s="116">
        <f>D6+1</f>
        <v>2017</v>
      </c>
      <c r="F6" s="116">
        <f t="shared" ref="F6:K6" si="0">E6+1</f>
        <v>2018</v>
      </c>
      <c r="G6" s="116">
        <f t="shared" si="0"/>
        <v>2019</v>
      </c>
      <c r="H6" s="116">
        <f t="shared" si="0"/>
        <v>2020</v>
      </c>
      <c r="I6" s="116">
        <f t="shared" si="0"/>
        <v>2021</v>
      </c>
      <c r="J6" s="116">
        <f t="shared" si="0"/>
        <v>2022</v>
      </c>
      <c r="K6" s="193">
        <f t="shared" si="0"/>
        <v>2023</v>
      </c>
    </row>
    <row r="7" spans="1:12" s="2" customFormat="1"/>
    <row r="8" spans="1:12" s="2" customFormat="1">
      <c r="B8" s="211" t="s">
        <v>520</v>
      </c>
      <c r="C8" s="150" t="s">
        <v>128</v>
      </c>
      <c r="D8" s="875">
        <v>-129.41187522999999</v>
      </c>
      <c r="E8" s="693">
        <v>-220.6</v>
      </c>
      <c r="F8" s="693">
        <v>-11.471064520000001</v>
      </c>
      <c r="G8" s="693">
        <v>12.0915167</v>
      </c>
      <c r="H8" s="693">
        <v>-12.830205789999999</v>
      </c>
      <c r="I8" s="693">
        <v>-5.6160904399999998</v>
      </c>
      <c r="J8" s="693">
        <v>36.294785433156399</v>
      </c>
      <c r="K8" s="693">
        <v>-55.870838247595074</v>
      </c>
    </row>
    <row r="9" spans="1:12" s="2" customFormat="1">
      <c r="B9" s="211"/>
    </row>
    <row r="10" spans="1:12">
      <c r="B10" s="211" t="s">
        <v>521</v>
      </c>
      <c r="C10" s="150" t="s">
        <v>128</v>
      </c>
      <c r="D10" s="687">
        <v>-220.6</v>
      </c>
      <c r="E10" s="688">
        <v>-11.471064520000001</v>
      </c>
      <c r="F10" s="688">
        <v>12.0915167</v>
      </c>
      <c r="G10" s="688">
        <v>-12.830205789999999</v>
      </c>
      <c r="H10" s="688">
        <v>-5.6160904399999998</v>
      </c>
      <c r="I10" s="688">
        <v>36.294785433156399</v>
      </c>
      <c r="J10" s="688">
        <v>-55.870838247595074</v>
      </c>
      <c r="K10" s="689">
        <v>86.401087033935838</v>
      </c>
    </row>
    <row r="11" spans="1:12">
      <c r="B11" s="211" t="s">
        <v>369</v>
      </c>
      <c r="C11" s="150" t="s">
        <v>128</v>
      </c>
      <c r="D11" s="690">
        <v>1431.9194999999997</v>
      </c>
      <c r="E11" s="691">
        <v>1433.4278646799999</v>
      </c>
      <c r="F11" s="691">
        <v>1434.9363366799998</v>
      </c>
      <c r="G11" s="691">
        <v>1467.5118957599998</v>
      </c>
      <c r="H11" s="691">
        <v>1469.7800277599999</v>
      </c>
      <c r="I11" s="691">
        <v>1471.8469837788393</v>
      </c>
      <c r="J11" s="691">
        <v>1474.0862962236786</v>
      </c>
      <c r="K11" s="692">
        <v>1476.4438765142856</v>
      </c>
    </row>
    <row r="12" spans="1:12">
      <c r="B12" s="211" t="s">
        <v>370</v>
      </c>
      <c r="C12" s="150" t="s">
        <v>128</v>
      </c>
      <c r="D12" s="690">
        <v>100</v>
      </c>
      <c r="E12" s="691">
        <v>2.5</v>
      </c>
      <c r="F12" s="691">
        <v>5.34</v>
      </c>
      <c r="G12" s="691">
        <v>0</v>
      </c>
      <c r="H12" s="691">
        <v>35.229999999999997</v>
      </c>
      <c r="I12" s="691">
        <v>0</v>
      </c>
      <c r="J12" s="691">
        <v>0</v>
      </c>
      <c r="K12" s="692">
        <v>0</v>
      </c>
    </row>
    <row r="13" spans="1:12">
      <c r="B13" s="211" t="s">
        <v>371</v>
      </c>
      <c r="C13" s="150" t="s">
        <v>128</v>
      </c>
      <c r="D13" s="690">
        <v>0</v>
      </c>
      <c r="E13" s="691">
        <v>0</v>
      </c>
      <c r="F13" s="691">
        <v>0</v>
      </c>
      <c r="G13" s="691">
        <v>0</v>
      </c>
      <c r="H13" s="691">
        <v>0</v>
      </c>
      <c r="I13" s="691">
        <v>0</v>
      </c>
      <c r="J13" s="691">
        <v>0</v>
      </c>
      <c r="K13" s="692">
        <v>0</v>
      </c>
    </row>
    <row r="14" spans="1:12">
      <c r="B14" s="211" t="s">
        <v>372</v>
      </c>
      <c r="C14" s="150" t="s">
        <v>128</v>
      </c>
      <c r="D14" s="690">
        <v>1.7346000000000026</v>
      </c>
      <c r="E14" s="691">
        <v>-24.832217480000001</v>
      </c>
      <c r="F14" s="691">
        <v>9.4106116599999972</v>
      </c>
      <c r="G14" s="691">
        <v>-21.14197313</v>
      </c>
      <c r="H14" s="691">
        <v>-6.5675000000000008</v>
      </c>
      <c r="I14" s="691">
        <v>-6.5675000000000008</v>
      </c>
      <c r="J14" s="691">
        <v>-6.5675000000000008</v>
      </c>
      <c r="K14" s="692">
        <v>-6.5675000000000008</v>
      </c>
    </row>
    <row r="15" spans="1:12">
      <c r="B15" s="211" t="s">
        <v>293</v>
      </c>
      <c r="C15" s="150" t="s">
        <v>128</v>
      </c>
      <c r="D15" s="690">
        <v>0</v>
      </c>
      <c r="E15" s="691">
        <v>0</v>
      </c>
      <c r="F15" s="691">
        <v>0</v>
      </c>
      <c r="G15" s="691">
        <v>0</v>
      </c>
      <c r="H15" s="691">
        <v>0</v>
      </c>
      <c r="I15" s="691">
        <v>0</v>
      </c>
      <c r="J15" s="691">
        <v>0</v>
      </c>
      <c r="K15" s="692">
        <v>0</v>
      </c>
    </row>
    <row r="16" spans="1:12">
      <c r="B16" s="211" t="s">
        <v>294</v>
      </c>
      <c r="C16" s="150" t="s">
        <v>128</v>
      </c>
      <c r="D16" s="690">
        <v>0</v>
      </c>
      <c r="E16" s="691">
        <v>0</v>
      </c>
      <c r="F16" s="691">
        <v>0</v>
      </c>
      <c r="G16" s="691">
        <v>0</v>
      </c>
      <c r="H16" s="691">
        <v>0</v>
      </c>
      <c r="I16" s="691">
        <v>0</v>
      </c>
      <c r="J16" s="691">
        <v>0</v>
      </c>
      <c r="K16" s="692">
        <v>0</v>
      </c>
    </row>
    <row r="17" spans="2:13">
      <c r="B17" s="211" t="s">
        <v>298</v>
      </c>
      <c r="C17" s="150" t="s">
        <v>128</v>
      </c>
      <c r="D17" s="690">
        <v>0</v>
      </c>
      <c r="E17" s="691">
        <v>0</v>
      </c>
      <c r="F17" s="691">
        <v>0</v>
      </c>
      <c r="G17" s="691">
        <v>0</v>
      </c>
      <c r="H17" s="691">
        <v>0</v>
      </c>
      <c r="I17" s="691">
        <v>0</v>
      </c>
      <c r="J17" s="691">
        <v>0</v>
      </c>
      <c r="K17" s="692">
        <v>0</v>
      </c>
    </row>
    <row r="18" spans="2:13">
      <c r="B18" s="211" t="s">
        <v>299</v>
      </c>
      <c r="C18" s="150" t="s">
        <v>128</v>
      </c>
      <c r="D18" s="690">
        <v>0</v>
      </c>
      <c r="E18" s="691">
        <v>0</v>
      </c>
      <c r="F18" s="691">
        <v>0</v>
      </c>
      <c r="G18" s="691">
        <v>0</v>
      </c>
      <c r="H18" s="691">
        <v>0</v>
      </c>
      <c r="I18" s="691">
        <v>0</v>
      </c>
      <c r="J18" s="691">
        <v>0</v>
      </c>
      <c r="K18" s="692">
        <v>0</v>
      </c>
    </row>
    <row r="19" spans="2:13">
      <c r="B19" s="211" t="s">
        <v>300</v>
      </c>
      <c r="C19" s="150" t="s">
        <v>128</v>
      </c>
      <c r="D19" s="690">
        <v>0</v>
      </c>
      <c r="E19" s="691">
        <v>0</v>
      </c>
      <c r="F19" s="691">
        <v>0</v>
      </c>
      <c r="G19" s="691">
        <v>0</v>
      </c>
      <c r="H19" s="691">
        <v>0</v>
      </c>
      <c r="I19" s="691">
        <v>0</v>
      </c>
      <c r="J19" s="691">
        <v>0</v>
      </c>
      <c r="K19" s="692">
        <v>0</v>
      </c>
    </row>
    <row r="20" spans="2:13">
      <c r="B20" s="211" t="s">
        <v>301</v>
      </c>
      <c r="C20" s="150" t="s">
        <v>128</v>
      </c>
      <c r="D20" s="690">
        <v>0</v>
      </c>
      <c r="E20" s="691">
        <v>0</v>
      </c>
      <c r="F20" s="691">
        <v>0</v>
      </c>
      <c r="G20" s="691">
        <v>0</v>
      </c>
      <c r="H20" s="691">
        <v>0</v>
      </c>
      <c r="I20" s="691">
        <v>0</v>
      </c>
      <c r="J20" s="691">
        <v>0</v>
      </c>
      <c r="K20" s="692">
        <v>0</v>
      </c>
    </row>
    <row r="21" spans="2:13">
      <c r="B21" s="211" t="s">
        <v>302</v>
      </c>
      <c r="C21" s="150" t="s">
        <v>128</v>
      </c>
      <c r="D21" s="690">
        <v>0</v>
      </c>
      <c r="E21" s="691">
        <v>0</v>
      </c>
      <c r="F21" s="691">
        <v>0</v>
      </c>
      <c r="G21" s="691">
        <v>0</v>
      </c>
      <c r="H21" s="691">
        <v>0</v>
      </c>
      <c r="I21" s="691">
        <v>0</v>
      </c>
      <c r="J21" s="691">
        <v>0</v>
      </c>
      <c r="K21" s="692">
        <v>0</v>
      </c>
    </row>
    <row r="22" spans="2:13">
      <c r="B22" s="211" t="s">
        <v>303</v>
      </c>
      <c r="C22" s="150" t="s">
        <v>128</v>
      </c>
      <c r="D22" s="690">
        <v>0</v>
      </c>
      <c r="E22" s="691">
        <v>0</v>
      </c>
      <c r="F22" s="691">
        <v>0</v>
      </c>
      <c r="G22" s="691">
        <v>0</v>
      </c>
      <c r="H22" s="691">
        <v>0</v>
      </c>
      <c r="I22" s="691">
        <v>0</v>
      </c>
      <c r="J22" s="691">
        <v>0</v>
      </c>
      <c r="K22" s="692">
        <v>0</v>
      </c>
    </row>
    <row r="23" spans="2:13">
      <c r="B23" s="14" t="s">
        <v>319</v>
      </c>
      <c r="C23" s="233" t="s">
        <v>128</v>
      </c>
      <c r="D23" s="693">
        <v>1313.0540999999998</v>
      </c>
      <c r="E23" s="693">
        <v>1399.6245826799998</v>
      </c>
      <c r="F23" s="693">
        <v>1461.7784650399999</v>
      </c>
      <c r="G23" s="693">
        <v>1433.5397168399998</v>
      </c>
      <c r="H23" s="693">
        <v>1492.8264373199997</v>
      </c>
      <c r="I23" s="693">
        <v>1501.5742692119957</v>
      </c>
      <c r="J23" s="693">
        <v>1411.6479579760835</v>
      </c>
      <c r="K23" s="694">
        <v>1556.2774635482215</v>
      </c>
      <c r="L23" s="2"/>
      <c r="M23" s="320"/>
    </row>
    <row r="24" spans="2:13">
      <c r="B24" s="14"/>
      <c r="C24" s="150"/>
      <c r="D24" s="237"/>
      <c r="E24" s="237"/>
      <c r="F24" s="237"/>
      <c r="G24" s="237"/>
      <c r="H24" s="237"/>
      <c r="I24" s="237"/>
      <c r="J24" s="237"/>
      <c r="K24" s="237"/>
      <c r="L24" s="2"/>
      <c r="M24" s="2"/>
    </row>
    <row r="25" spans="2:13">
      <c r="B25" s="14" t="s">
        <v>123</v>
      </c>
      <c r="C25" s="16"/>
      <c r="D25" s="238"/>
      <c r="E25" s="238"/>
      <c r="F25" s="238"/>
      <c r="G25" s="238"/>
      <c r="H25" s="238"/>
      <c r="I25" s="238"/>
      <c r="J25" s="238"/>
      <c r="K25" s="238"/>
      <c r="L25" s="2"/>
      <c r="M25" s="2"/>
    </row>
    <row r="26" spans="2:13">
      <c r="B26" s="365" t="s">
        <v>532</v>
      </c>
      <c r="C26" s="150" t="s">
        <v>128</v>
      </c>
      <c r="D26" s="343">
        <v>5.9778656200000002</v>
      </c>
      <c r="E26" s="343">
        <v>5.4760736200000002</v>
      </c>
      <c r="F26" s="343">
        <v>4.9743000000000004</v>
      </c>
      <c r="G26" s="343">
        <v>4.65349054</v>
      </c>
      <c r="H26" s="343">
        <v>4.1319465400000004</v>
      </c>
      <c r="I26" s="343">
        <v>3.6130382961170682</v>
      </c>
      <c r="J26" s="343">
        <v>3.0941300522341364</v>
      </c>
      <c r="K26" s="343">
        <v>2.5752218083512046</v>
      </c>
      <c r="L26" s="2"/>
      <c r="M26" s="2"/>
    </row>
    <row r="27" spans="2:13">
      <c r="B27" s="365" t="s">
        <v>8</v>
      </c>
      <c r="C27" s="150" t="s">
        <v>128</v>
      </c>
      <c r="D27" s="343">
        <v>0</v>
      </c>
      <c r="E27" s="375">
        <v>0</v>
      </c>
      <c r="F27" s="375">
        <v>0</v>
      </c>
      <c r="G27" s="375">
        <v>0</v>
      </c>
      <c r="H27" s="375">
        <v>0</v>
      </c>
      <c r="I27" s="375">
        <v>0</v>
      </c>
      <c r="J27" s="375">
        <v>0</v>
      </c>
      <c r="K27" s="379">
        <v>0</v>
      </c>
      <c r="L27" s="35"/>
      <c r="M27" s="35"/>
    </row>
    <row r="28" spans="2:13">
      <c r="B28" s="365" t="s">
        <v>9</v>
      </c>
      <c r="C28" s="150" t="s">
        <v>128</v>
      </c>
      <c r="D28" s="343">
        <v>0</v>
      </c>
      <c r="E28" s="375">
        <v>0</v>
      </c>
      <c r="F28" s="375">
        <v>0</v>
      </c>
      <c r="G28" s="375">
        <v>0</v>
      </c>
      <c r="H28" s="375">
        <v>0</v>
      </c>
      <c r="I28" s="375">
        <v>0</v>
      </c>
      <c r="J28" s="375">
        <v>0</v>
      </c>
      <c r="K28" s="379">
        <v>0</v>
      </c>
      <c r="L28" s="35"/>
      <c r="M28" s="35"/>
    </row>
    <row r="29" spans="2:13">
      <c r="B29" s="365" t="s">
        <v>10</v>
      </c>
      <c r="C29" s="150" t="s">
        <v>128</v>
      </c>
      <c r="D29" s="343">
        <v>0</v>
      </c>
      <c r="E29" s="375">
        <v>0</v>
      </c>
      <c r="F29" s="375">
        <v>0</v>
      </c>
      <c r="G29" s="375">
        <v>0</v>
      </c>
      <c r="H29" s="375">
        <v>0</v>
      </c>
      <c r="I29" s="375">
        <v>0</v>
      </c>
      <c r="J29" s="375">
        <v>0</v>
      </c>
      <c r="K29" s="379">
        <v>0</v>
      </c>
      <c r="L29" s="35"/>
      <c r="M29" s="35"/>
    </row>
    <row r="30" spans="2:13">
      <c r="B30" s="365" t="s">
        <v>612</v>
      </c>
      <c r="C30" s="150" t="s">
        <v>128</v>
      </c>
      <c r="D30" s="343">
        <v>12.102741700000001</v>
      </c>
      <c r="E30" s="375">
        <v>11.0960617</v>
      </c>
      <c r="F30" s="375">
        <v>10.089399999999999</v>
      </c>
      <c r="G30" s="375">
        <v>8.3525817</v>
      </c>
      <c r="H30" s="375">
        <v>7.4255577000000006</v>
      </c>
      <c r="I30" s="375">
        <v>6.5042605650436469</v>
      </c>
      <c r="J30" s="375">
        <v>5.582963430087295</v>
      </c>
      <c r="K30" s="379">
        <v>4.6616662951309422</v>
      </c>
    </row>
    <row r="31" spans="2:13">
      <c r="B31" s="365" t="s">
        <v>613</v>
      </c>
      <c r="C31" s="150" t="s">
        <v>128</v>
      </c>
      <c r="D31" s="343">
        <v>-1.7346000000000026</v>
      </c>
      <c r="E31" s="375">
        <v>24.832217480000001</v>
      </c>
      <c r="F31" s="375">
        <v>-9.4106000000000005</v>
      </c>
      <c r="G31" s="375">
        <v>22.696162879999996</v>
      </c>
      <c r="H31" s="375">
        <v>6.567376710000004</v>
      </c>
      <c r="I31" s="375">
        <v>6.5675000000000008</v>
      </c>
      <c r="J31" s="375">
        <v>6.5675000000000008</v>
      </c>
      <c r="K31" s="379">
        <v>6.5675000000000008</v>
      </c>
    </row>
    <row r="32" spans="2:13" ht="12.75" customHeight="1">
      <c r="B32" s="365" t="s">
        <v>614</v>
      </c>
      <c r="C32" s="150" t="s">
        <v>128</v>
      </c>
      <c r="D32" s="343">
        <v>3.8056735399999999</v>
      </c>
      <c r="E32" s="375">
        <v>3.2125518999999998</v>
      </c>
      <c r="F32" s="375">
        <v>6.4385000000000003</v>
      </c>
      <c r="G32" s="375">
        <v>4.9501776900000003</v>
      </c>
      <c r="H32" s="375">
        <v>3.8358305000000001</v>
      </c>
      <c r="I32" s="375">
        <v>3.8358304999999993</v>
      </c>
      <c r="J32" s="375">
        <v>3.8358304999999993</v>
      </c>
      <c r="K32" s="379">
        <v>3.8358304999999993</v>
      </c>
    </row>
    <row r="33" spans="2:12">
      <c r="B33" s="365" t="s">
        <v>615</v>
      </c>
      <c r="C33" s="150" t="s">
        <v>128</v>
      </c>
      <c r="D33" s="343">
        <v>0</v>
      </c>
      <c r="E33" s="375">
        <v>0</v>
      </c>
      <c r="F33" s="375">
        <v>0</v>
      </c>
      <c r="G33" s="375">
        <v>0</v>
      </c>
      <c r="H33" s="375">
        <v>0</v>
      </c>
      <c r="I33" s="375">
        <v>0</v>
      </c>
      <c r="J33" s="375">
        <v>0</v>
      </c>
      <c r="K33" s="379">
        <v>0</v>
      </c>
    </row>
    <row r="34" spans="2:12">
      <c r="B34" s="365" t="s">
        <v>357</v>
      </c>
      <c r="C34" s="150" t="s">
        <v>128</v>
      </c>
      <c r="D34" s="343">
        <v>0</v>
      </c>
      <c r="E34" s="375">
        <v>0</v>
      </c>
      <c r="F34" s="375">
        <v>0</v>
      </c>
      <c r="G34" s="375">
        <v>0</v>
      </c>
      <c r="H34" s="375">
        <v>0</v>
      </c>
      <c r="I34" s="375">
        <v>0</v>
      </c>
      <c r="J34" s="375">
        <v>0</v>
      </c>
      <c r="K34" s="379">
        <v>0</v>
      </c>
    </row>
    <row r="35" spans="2:12">
      <c r="B35" s="365" t="s">
        <v>358</v>
      </c>
      <c r="C35" s="150" t="s">
        <v>128</v>
      </c>
      <c r="D35" s="343">
        <v>0</v>
      </c>
      <c r="E35" s="375">
        <v>0</v>
      </c>
      <c r="F35" s="375">
        <v>0</v>
      </c>
      <c r="G35" s="375">
        <v>0</v>
      </c>
      <c r="H35" s="375">
        <v>0</v>
      </c>
      <c r="I35" s="375">
        <v>0</v>
      </c>
      <c r="J35" s="375">
        <v>0</v>
      </c>
      <c r="K35" s="379">
        <v>0</v>
      </c>
    </row>
    <row r="36" spans="2:12">
      <c r="B36" s="365" t="s">
        <v>359</v>
      </c>
      <c r="C36" s="150" t="s">
        <v>128</v>
      </c>
      <c r="D36" s="343">
        <v>0</v>
      </c>
      <c r="E36" s="375">
        <v>0</v>
      </c>
      <c r="F36" s="375">
        <v>0</v>
      </c>
      <c r="G36" s="375">
        <v>0</v>
      </c>
      <c r="H36" s="375">
        <v>0</v>
      </c>
      <c r="I36" s="375">
        <v>0</v>
      </c>
      <c r="J36" s="375">
        <v>0</v>
      </c>
      <c r="K36" s="379">
        <v>0</v>
      </c>
    </row>
    <row r="37" spans="2:12">
      <c r="B37" s="365" t="s">
        <v>360</v>
      </c>
      <c r="C37" s="150" t="s">
        <v>128</v>
      </c>
      <c r="D37" s="343">
        <v>0</v>
      </c>
      <c r="E37" s="375">
        <v>0</v>
      </c>
      <c r="F37" s="375">
        <v>0</v>
      </c>
      <c r="G37" s="375">
        <v>0</v>
      </c>
      <c r="H37" s="375">
        <v>0</v>
      </c>
      <c r="I37" s="375">
        <v>0</v>
      </c>
      <c r="J37" s="375">
        <v>0</v>
      </c>
      <c r="K37" s="379">
        <v>0</v>
      </c>
    </row>
    <row r="38" spans="2:12">
      <c r="B38" s="365" t="s">
        <v>361</v>
      </c>
      <c r="C38" s="150" t="s">
        <v>128</v>
      </c>
      <c r="D38" s="343">
        <v>0</v>
      </c>
      <c r="E38" s="375">
        <v>0</v>
      </c>
      <c r="F38" s="375">
        <v>0</v>
      </c>
      <c r="G38" s="375">
        <v>0</v>
      </c>
      <c r="H38" s="375">
        <v>0</v>
      </c>
      <c r="I38" s="375">
        <v>0</v>
      </c>
      <c r="J38" s="375">
        <v>0</v>
      </c>
      <c r="K38" s="379">
        <v>0</v>
      </c>
    </row>
    <row r="39" spans="2:12">
      <c r="B39" s="365" t="s">
        <v>362</v>
      </c>
      <c r="C39" s="150" t="s">
        <v>128</v>
      </c>
      <c r="D39" s="343">
        <v>0</v>
      </c>
      <c r="E39" s="375">
        <v>0</v>
      </c>
      <c r="F39" s="375">
        <v>0</v>
      </c>
      <c r="G39" s="375">
        <v>0</v>
      </c>
      <c r="H39" s="375">
        <v>0</v>
      </c>
      <c r="I39" s="375">
        <v>0</v>
      </c>
      <c r="J39" s="375">
        <v>0</v>
      </c>
      <c r="K39" s="379">
        <v>0</v>
      </c>
    </row>
    <row r="40" spans="2:12">
      <c r="B40" s="365" t="s">
        <v>363</v>
      </c>
      <c r="C40" s="150" t="s">
        <v>128</v>
      </c>
      <c r="D40" s="343">
        <v>0</v>
      </c>
      <c r="E40" s="375">
        <v>0</v>
      </c>
      <c r="F40" s="375">
        <v>0</v>
      </c>
      <c r="G40" s="375">
        <v>0</v>
      </c>
      <c r="H40" s="375">
        <v>0</v>
      </c>
      <c r="I40" s="375">
        <v>0</v>
      </c>
      <c r="J40" s="375">
        <v>0</v>
      </c>
      <c r="K40" s="379">
        <v>0</v>
      </c>
    </row>
    <row r="41" spans="2:12">
      <c r="B41" s="365" t="s">
        <v>364</v>
      </c>
      <c r="C41" s="150" t="s">
        <v>128</v>
      </c>
      <c r="D41" s="376">
        <v>0</v>
      </c>
      <c r="E41" s="377">
        <v>0</v>
      </c>
      <c r="F41" s="377">
        <v>0</v>
      </c>
      <c r="G41" s="377">
        <v>0</v>
      </c>
      <c r="H41" s="377">
        <v>0</v>
      </c>
      <c r="I41" s="377">
        <v>0</v>
      </c>
      <c r="J41" s="377">
        <v>0</v>
      </c>
      <c r="K41" s="380">
        <v>0</v>
      </c>
    </row>
    <row r="42" spans="2:12">
      <c r="B42" s="197" t="s">
        <v>234</v>
      </c>
      <c r="C42" s="150" t="s">
        <v>128</v>
      </c>
      <c r="D42" s="701">
        <v>1333.20578086</v>
      </c>
      <c r="E42" s="701">
        <v>1444.2414873800001</v>
      </c>
      <c r="F42" s="701">
        <v>1473.8700650400001</v>
      </c>
      <c r="G42" s="701">
        <v>1474.1921296499995</v>
      </c>
      <c r="H42" s="701">
        <v>1514.7871487699995</v>
      </c>
      <c r="I42" s="701">
        <v>1522.0948985731566</v>
      </c>
      <c r="J42" s="701">
        <v>1430.728381958405</v>
      </c>
      <c r="K42" s="701">
        <v>1573.9176821517037</v>
      </c>
    </row>
    <row r="43" spans="2:12">
      <c r="B43" s="366" t="s">
        <v>306</v>
      </c>
      <c r="C43" s="150" t="s">
        <v>128</v>
      </c>
      <c r="D43" s="702"/>
      <c r="E43" s="703"/>
      <c r="F43" s="703"/>
      <c r="G43" s="704"/>
      <c r="H43" s="704"/>
      <c r="I43" s="704">
        <v>110</v>
      </c>
      <c r="J43" s="704">
        <v>330</v>
      </c>
      <c r="K43" s="705">
        <v>330</v>
      </c>
    </row>
    <row r="44" spans="2:12">
      <c r="B44" s="342" t="s">
        <v>436</v>
      </c>
      <c r="C44" s="150" t="s">
        <v>128</v>
      </c>
      <c r="D44" s="93">
        <v>1333.20578086</v>
      </c>
      <c r="E44" s="94">
        <v>1444.2414873800001</v>
      </c>
      <c r="F44" s="94">
        <v>1473.8700650400001</v>
      </c>
      <c r="G44" s="94">
        <v>1474.1921296499995</v>
      </c>
      <c r="H44" s="94">
        <v>1514.7871487699995</v>
      </c>
      <c r="I44" s="94">
        <v>1632.0948985731566</v>
      </c>
      <c r="J44" s="94">
        <v>1760.728381958405</v>
      </c>
      <c r="K44" s="95">
        <v>1903.9176821517037</v>
      </c>
    </row>
    <row r="45" spans="2:12">
      <c r="D45" s="224" t="s">
        <v>663</v>
      </c>
      <c r="E45" s="225" t="s">
        <v>663</v>
      </c>
      <c r="F45" s="225" t="s">
        <v>663</v>
      </c>
      <c r="G45" s="225" t="s">
        <v>663</v>
      </c>
      <c r="H45" s="225" t="s">
        <v>663</v>
      </c>
      <c r="I45" s="225" t="s">
        <v>663</v>
      </c>
      <c r="J45" s="225" t="s">
        <v>663</v>
      </c>
      <c r="K45" s="226" t="s">
        <v>663</v>
      </c>
    </row>
    <row r="47" spans="2:12">
      <c r="B47" s="818" t="s">
        <v>437</v>
      </c>
      <c r="C47" s="150" t="s">
        <v>128</v>
      </c>
      <c r="D47" s="833">
        <v>1320.5881247700001</v>
      </c>
      <c r="E47" s="94">
        <v>1333.20578086</v>
      </c>
      <c r="F47" s="94">
        <v>1444.2414873800001</v>
      </c>
      <c r="G47" s="94">
        <v>1473.8700650400001</v>
      </c>
      <c r="H47" s="94">
        <v>1474.1921296499995</v>
      </c>
      <c r="I47" s="94">
        <v>1514.7871487699995</v>
      </c>
      <c r="J47" s="94">
        <v>1632.0948985731566</v>
      </c>
      <c r="K47" s="95">
        <v>1760.728381958405</v>
      </c>
      <c r="L47" s="817"/>
    </row>
    <row r="48" spans="2:12">
      <c r="B48" s="818" t="s">
        <v>438</v>
      </c>
      <c r="C48" s="150" t="s">
        <v>128</v>
      </c>
      <c r="D48" s="574">
        <v>1333.20578086</v>
      </c>
      <c r="E48" s="575">
        <v>1444.2414873800001</v>
      </c>
      <c r="F48" s="575">
        <v>1473.8700650400001</v>
      </c>
      <c r="G48" s="575">
        <v>1474.1921296499995</v>
      </c>
      <c r="H48" s="575">
        <v>1514.7871487699995</v>
      </c>
      <c r="I48" s="575">
        <v>1632.0948985731566</v>
      </c>
      <c r="J48" s="575">
        <v>1760.728381958405</v>
      </c>
      <c r="K48" s="832">
        <v>1903.9176821517037</v>
      </c>
      <c r="L48" s="817"/>
    </row>
    <row r="49" spans="2:13">
      <c r="D49" s="23"/>
      <c r="E49" s="23"/>
      <c r="F49" s="23"/>
      <c r="G49" s="23"/>
      <c r="H49" s="23"/>
      <c r="I49" s="23"/>
      <c r="J49" s="23"/>
      <c r="K49" s="23"/>
    </row>
    <row r="50" spans="2:13">
      <c r="B50" s="14" t="s">
        <v>124</v>
      </c>
    </row>
    <row r="51" spans="2:13">
      <c r="B51" t="s">
        <v>125</v>
      </c>
      <c r="C51" s="476" t="s">
        <v>7</v>
      </c>
      <c r="D51" s="470">
        <v>0</v>
      </c>
      <c r="E51" s="471">
        <v>0</v>
      </c>
      <c r="F51" s="471">
        <v>0</v>
      </c>
      <c r="G51" s="471">
        <v>0</v>
      </c>
      <c r="H51" s="471">
        <v>0</v>
      </c>
      <c r="I51" s="471">
        <v>0</v>
      </c>
      <c r="J51" s="471">
        <v>0</v>
      </c>
      <c r="K51" s="472">
        <v>0</v>
      </c>
    </row>
    <row r="52" spans="2:13">
      <c r="B52" t="s">
        <v>126</v>
      </c>
      <c r="C52" s="476" t="s">
        <v>7</v>
      </c>
      <c r="D52" s="482">
        <v>1</v>
      </c>
      <c r="E52" s="483">
        <v>1</v>
      </c>
      <c r="F52" s="483">
        <v>1</v>
      </c>
      <c r="G52" s="483">
        <v>1</v>
      </c>
      <c r="H52" s="483">
        <v>1</v>
      </c>
      <c r="I52" s="483">
        <v>1</v>
      </c>
      <c r="J52" s="483">
        <v>1</v>
      </c>
      <c r="K52" s="484">
        <v>1</v>
      </c>
    </row>
    <row r="53" spans="2:13">
      <c r="C53" s="817"/>
      <c r="D53" s="817"/>
      <c r="E53" s="817"/>
      <c r="F53" s="817"/>
      <c r="G53" s="817"/>
      <c r="H53" s="817"/>
      <c r="I53" s="817"/>
      <c r="J53" s="817"/>
      <c r="K53" s="817"/>
      <c r="L53" s="817"/>
    </row>
    <row r="54" spans="2:13">
      <c r="B54" s="198" t="s">
        <v>460</v>
      </c>
      <c r="C54" s="264" t="s">
        <v>128</v>
      </c>
      <c r="D54" s="706">
        <v>1326.8969528150001</v>
      </c>
      <c r="E54" s="707">
        <v>1388.72363412</v>
      </c>
      <c r="F54" s="707">
        <v>1459.0557762100002</v>
      </c>
      <c r="G54" s="707">
        <v>1474.0310973449998</v>
      </c>
      <c r="H54" s="707">
        <v>1494.4896392099995</v>
      </c>
      <c r="I54" s="707">
        <v>1573.441023671578</v>
      </c>
      <c r="J54" s="707">
        <v>1696.4116402657808</v>
      </c>
      <c r="K54" s="708">
        <v>1832.3230320550542</v>
      </c>
    </row>
    <row r="55" spans="2:13">
      <c r="B55" s="198" t="s">
        <v>272</v>
      </c>
      <c r="C55" s="150" t="s">
        <v>128</v>
      </c>
      <c r="D55" s="695">
        <v>778.71047246254193</v>
      </c>
      <c r="E55" s="696">
        <v>814.23565795581317</v>
      </c>
      <c r="F55" s="696">
        <v>853.95666370992376</v>
      </c>
      <c r="G55" s="696">
        <v>933.9264617372844</v>
      </c>
      <c r="H55" s="696">
        <v>995.63463196789098</v>
      </c>
      <c r="I55" s="696">
        <v>993.18214063357527</v>
      </c>
      <c r="J55" s="696">
        <v>969.03905751856951</v>
      </c>
      <c r="K55" s="697">
        <v>964.95694001748234</v>
      </c>
    </row>
    <row r="56" spans="2:13">
      <c r="B56" s="198" t="s">
        <v>508</v>
      </c>
      <c r="C56" s="150" t="s">
        <v>128</v>
      </c>
      <c r="D56" s="868">
        <v>2105.607425277542</v>
      </c>
      <c r="E56" s="868">
        <v>2202.9592920758132</v>
      </c>
      <c r="F56" s="868">
        <v>2313.012439919924</v>
      </c>
      <c r="G56" s="868">
        <v>2407.9575590822842</v>
      </c>
      <c r="H56" s="868">
        <v>2490.1242711778905</v>
      </c>
      <c r="I56" s="868">
        <v>2566.6231643051533</v>
      </c>
      <c r="J56" s="868">
        <v>2665.4506977843503</v>
      </c>
      <c r="K56" s="868">
        <v>2797.2799720725366</v>
      </c>
    </row>
    <row r="57" spans="2:13">
      <c r="B57" s="198" t="s">
        <v>235</v>
      </c>
      <c r="C57" s="150" t="s">
        <v>7</v>
      </c>
      <c r="D57" s="229">
        <v>0.63017300228227524</v>
      </c>
      <c r="E57" s="230">
        <v>0.63039005719049312</v>
      </c>
      <c r="F57" s="230">
        <v>0.63080325510938995</v>
      </c>
      <c r="G57" s="230">
        <v>0.61214994914892917</v>
      </c>
      <c r="H57" s="230">
        <v>0.60016668907173409</v>
      </c>
      <c r="I57" s="230">
        <v>0.61303936064862341</v>
      </c>
      <c r="J57" s="230">
        <v>0.63644457639975072</v>
      </c>
      <c r="K57" s="231">
        <v>0.65503741146706362</v>
      </c>
    </row>
    <row r="58" spans="2:13">
      <c r="B58" s="198" t="s">
        <v>115</v>
      </c>
      <c r="C58" s="150" t="s">
        <v>7</v>
      </c>
      <c r="D58" s="869">
        <v>0.65</v>
      </c>
      <c r="E58" s="870">
        <v>0.65</v>
      </c>
      <c r="F58" s="870">
        <v>0.65</v>
      </c>
      <c r="G58" s="870">
        <v>0.65</v>
      </c>
      <c r="H58" s="870">
        <v>0.65</v>
      </c>
      <c r="I58" s="870">
        <v>0.65</v>
      </c>
      <c r="J58" s="870">
        <v>0.65</v>
      </c>
      <c r="K58" s="871">
        <v>0.65</v>
      </c>
    </row>
    <row r="59" spans="2:13">
      <c r="B59" s="198" t="s">
        <v>236</v>
      </c>
      <c r="C59" s="150" t="s">
        <v>7</v>
      </c>
      <c r="D59" s="234">
        <v>-1.9826997717724781E-2</v>
      </c>
      <c r="E59" s="235">
        <v>-1.9609942809506897E-2</v>
      </c>
      <c r="F59" s="235">
        <v>-1.9196744890610073E-2</v>
      </c>
      <c r="G59" s="235">
        <v>-3.7850050851070849E-2</v>
      </c>
      <c r="H59" s="235">
        <v>-4.9833310928265928E-2</v>
      </c>
      <c r="I59" s="235">
        <v>-3.6960639351376612E-2</v>
      </c>
      <c r="J59" s="235">
        <v>-1.3555423600249306E-2</v>
      </c>
      <c r="K59" s="236">
        <v>5.0374114670636017E-3</v>
      </c>
    </row>
    <row r="61" spans="2:13">
      <c r="B61" s="198" t="s">
        <v>515</v>
      </c>
      <c r="C61" s="153" t="s">
        <v>159</v>
      </c>
      <c r="D61" s="949">
        <v>1227.7375838196103</v>
      </c>
      <c r="E61" s="699">
        <v>1255.5240432118646</v>
      </c>
      <c r="F61" s="699">
        <v>1277.2913288735208</v>
      </c>
      <c r="G61" s="699">
        <v>1253.573598071968</v>
      </c>
      <c r="H61" s="699">
        <v>1242.4015022466456</v>
      </c>
      <c r="I61" s="699">
        <v>1285.7675158561196</v>
      </c>
      <c r="J61" s="699">
        <v>1361.3679484188099</v>
      </c>
      <c r="K61" s="700">
        <v>1438.0017762219288</v>
      </c>
      <c r="M61" s="319"/>
    </row>
    <row r="62" spans="2:13">
      <c r="B62" s="198" t="s">
        <v>513</v>
      </c>
      <c r="C62" s="153" t="s">
        <v>159</v>
      </c>
      <c r="D62" s="662">
        <v>720.51722775301596</v>
      </c>
      <c r="E62" s="663">
        <v>736.138148935412</v>
      </c>
      <c r="F62" s="663">
        <v>747.57350580781088</v>
      </c>
      <c r="G62" s="663">
        <v>794.247527805456</v>
      </c>
      <c r="H62" s="663">
        <v>827.69256473371843</v>
      </c>
      <c r="I62" s="663">
        <v>811.59783845933464</v>
      </c>
      <c r="J62" s="663">
        <v>777.65247676859076</v>
      </c>
      <c r="K62" s="664">
        <v>757.29539466986523</v>
      </c>
      <c r="M62" s="319"/>
    </row>
    <row r="63" spans="2:13">
      <c r="B63" s="198" t="s">
        <v>514</v>
      </c>
      <c r="C63" s="153" t="s">
        <v>159</v>
      </c>
      <c r="D63" s="867">
        <v>1948.2548115726263</v>
      </c>
      <c r="E63" s="867">
        <v>1991.6621921472768</v>
      </c>
      <c r="F63" s="867">
        <v>2024.8648346813316</v>
      </c>
      <c r="G63" s="867">
        <v>2047.821125877424</v>
      </c>
      <c r="H63" s="867">
        <v>2070.094066980364</v>
      </c>
      <c r="I63" s="867">
        <v>2097.3653543154542</v>
      </c>
      <c r="J63" s="867">
        <v>2139.0204251874006</v>
      </c>
      <c r="K63" s="867">
        <v>2195.2971708917939</v>
      </c>
    </row>
    <row r="64" spans="2:13">
      <c r="B64" s="198" t="s">
        <v>235</v>
      </c>
      <c r="C64" s="150" t="s">
        <v>7</v>
      </c>
      <c r="D64" s="229">
        <v>0.63017300228227524</v>
      </c>
      <c r="E64" s="230">
        <v>0.63039005719049312</v>
      </c>
      <c r="F64" s="230">
        <v>0.63080325510938995</v>
      </c>
      <c r="G64" s="230">
        <v>0.61214994914892917</v>
      </c>
      <c r="H64" s="230">
        <v>0.60016668907173409</v>
      </c>
      <c r="I64" s="230">
        <v>0.61303936064862341</v>
      </c>
      <c r="J64" s="230">
        <v>0.63644457639975072</v>
      </c>
      <c r="K64" s="231">
        <v>0.65503741146706362</v>
      </c>
    </row>
    <row r="65" spans="2:11">
      <c r="B65" s="198" t="s">
        <v>115</v>
      </c>
      <c r="C65" s="150" t="s">
        <v>7</v>
      </c>
      <c r="D65" s="869">
        <v>0.65</v>
      </c>
      <c r="E65" s="870">
        <v>0.65</v>
      </c>
      <c r="F65" s="870">
        <v>0.65</v>
      </c>
      <c r="G65" s="870">
        <v>0.65</v>
      </c>
      <c r="H65" s="870">
        <v>0.65</v>
      </c>
      <c r="I65" s="870">
        <v>0.65</v>
      </c>
      <c r="J65" s="870">
        <v>0.65</v>
      </c>
      <c r="K65" s="871">
        <v>0.65</v>
      </c>
    </row>
    <row r="66" spans="2:11">
      <c r="B66" s="198" t="s">
        <v>236</v>
      </c>
      <c r="C66" s="150" t="s">
        <v>7</v>
      </c>
      <c r="D66" s="234">
        <v>-1.9826997717724781E-2</v>
      </c>
      <c r="E66" s="235">
        <v>-1.9609942809506897E-2</v>
      </c>
      <c r="F66" s="235">
        <v>-1.9196744890610073E-2</v>
      </c>
      <c r="G66" s="235">
        <v>-3.7850050851070849E-2</v>
      </c>
      <c r="H66" s="235">
        <v>-4.9833310928265928E-2</v>
      </c>
      <c r="I66" s="235">
        <v>-3.6960639351376612E-2</v>
      </c>
      <c r="J66" s="235">
        <v>-1.3555423600249306E-2</v>
      </c>
      <c r="K66" s="236">
        <v>5.0374114670636017E-3</v>
      </c>
    </row>
  </sheetData>
  <conditionalFormatting sqref="D6:K6">
    <cfRule type="expression" dxfId="27" priority="18">
      <formula>AND(D$5="Actuals",E$5="Forecast")</formula>
    </cfRule>
  </conditionalFormatting>
  <conditionalFormatting sqref="D5:K5">
    <cfRule type="expression" dxfId="26"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N63"/>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100.08984375" customWidth="1"/>
    <col min="3" max="3" width="14.08984375" style="196" customWidth="1"/>
    <col min="4" max="11" width="11.08984375" customWidth="1"/>
    <col min="12" max="12" width="5" customWidth="1"/>
    <col min="14" max="14" width="9" style="211"/>
  </cols>
  <sheetData>
    <row r="1" spans="1:14" s="31" customFormat="1" ht="21">
      <c r="A1" s="901" t="s">
        <v>120</v>
      </c>
      <c r="B1" s="930"/>
      <c r="C1" s="393"/>
      <c r="D1" s="118"/>
      <c r="E1" s="118"/>
      <c r="F1" s="118"/>
      <c r="G1" s="118"/>
      <c r="H1" s="118"/>
      <c r="I1" s="124"/>
      <c r="J1" s="124"/>
      <c r="K1" s="125"/>
      <c r="L1" s="359"/>
      <c r="N1" s="210"/>
    </row>
    <row r="2" spans="1:14" s="31" customFormat="1" ht="21">
      <c r="A2" s="904" t="str">
        <f>'RFPR cover'!C5</f>
        <v>WPD-WMID</v>
      </c>
      <c r="B2" s="896"/>
      <c r="C2" s="219"/>
      <c r="D2" s="29"/>
      <c r="E2" s="29"/>
      <c r="F2" s="29"/>
      <c r="G2" s="29"/>
      <c r="H2" s="29"/>
      <c r="I2" s="27"/>
      <c r="J2" s="27"/>
      <c r="K2" s="27"/>
      <c r="L2" s="121"/>
      <c r="N2" s="210"/>
    </row>
    <row r="3" spans="1:14" s="31" customFormat="1" ht="21">
      <c r="A3" s="907">
        <f>'RFPR cover'!C7</f>
        <v>2020</v>
      </c>
      <c r="B3" s="914"/>
      <c r="C3" s="394"/>
      <c r="D3" s="258"/>
      <c r="E3" s="258"/>
      <c r="F3" s="258"/>
      <c r="G3" s="258"/>
      <c r="H3" s="258"/>
      <c r="I3" s="253"/>
      <c r="J3" s="253"/>
      <c r="K3" s="253"/>
      <c r="L3" s="259"/>
      <c r="N3" s="210"/>
    </row>
    <row r="4" spans="1:14" s="2" customFormat="1" ht="12.75" customHeight="1">
      <c r="C4" s="1"/>
      <c r="N4" s="127"/>
    </row>
    <row r="5" spans="1:14" s="2" customFormat="1">
      <c r="B5" s="38"/>
      <c r="C5" s="220"/>
      <c r="D5" s="386" t="str">
        <f>IF(D6&lt;='RFPR cover'!$C$7-1,"Actuals","Forecast")</f>
        <v>Actuals</v>
      </c>
      <c r="E5" s="386" t="str">
        <f>IF(E6&lt;='RFPR cover'!$C$7-1,"Actuals","Forecast")</f>
        <v>Actuals</v>
      </c>
      <c r="F5" s="386" t="str">
        <f>IF(F6&lt;='RFPR cover'!$C$7-1,"Actuals","Forecast")</f>
        <v>Actuals</v>
      </c>
      <c r="G5" s="386" t="str">
        <f>IF(G6&lt;='RFPR cover'!$C$7-1,"Actuals","Forecast")</f>
        <v>Actuals</v>
      </c>
      <c r="H5" s="386" t="str">
        <f>IF(H6&lt;='RFPR cover'!$C$7-1,"Actuals","Forecast")</f>
        <v>Forecast</v>
      </c>
      <c r="I5" s="386" t="str">
        <f>IF(I6&lt;='RFPR cover'!$C$7-1,"Actuals","Forecast")</f>
        <v>Forecast</v>
      </c>
      <c r="J5" s="386" t="str">
        <f>IF(J6&lt;='RFPR cover'!$C$7-1,"Actuals","Forecast")</f>
        <v>Forecast</v>
      </c>
      <c r="K5" s="386" t="str">
        <f>IF(K6&lt;='RFPR cover'!$C$7-1,"Actuals","Forecast")</f>
        <v>Forecast</v>
      </c>
      <c r="N5" s="127"/>
    </row>
    <row r="6" spans="1:14" s="2" customFormat="1">
      <c r="C6" s="1"/>
      <c r="D6" s="115">
        <f>'RFPR cover'!$C$13</f>
        <v>2016</v>
      </c>
      <c r="E6" s="116">
        <f>D6+1</f>
        <v>2017</v>
      </c>
      <c r="F6" s="116">
        <f t="shared" ref="F6:K6" si="0">E6+1</f>
        <v>2018</v>
      </c>
      <c r="G6" s="116">
        <f t="shared" si="0"/>
        <v>2019</v>
      </c>
      <c r="H6" s="116">
        <f t="shared" si="0"/>
        <v>2020</v>
      </c>
      <c r="I6" s="116">
        <f t="shared" si="0"/>
        <v>2021</v>
      </c>
      <c r="J6" s="116">
        <f t="shared" si="0"/>
        <v>2022</v>
      </c>
      <c r="K6" s="193">
        <f t="shared" si="0"/>
        <v>2023</v>
      </c>
      <c r="N6" s="127"/>
    </row>
    <row r="7" spans="1:14" s="2" customFormat="1">
      <c r="A7" s="35"/>
      <c r="B7" s="35"/>
      <c r="C7" s="317"/>
      <c r="D7" s="425"/>
      <c r="E7" s="425"/>
      <c r="F7" s="425"/>
      <c r="G7" s="425"/>
      <c r="H7" s="425"/>
      <c r="I7" s="425"/>
      <c r="J7" s="425"/>
      <c r="K7" s="425"/>
      <c r="L7" s="35"/>
      <c r="M7" s="35"/>
      <c r="N7" s="223"/>
    </row>
    <row r="8" spans="1:14" s="2" customFormat="1">
      <c r="B8" s="12" t="s">
        <v>323</v>
      </c>
      <c r="N8" s="127"/>
    </row>
    <row r="9" spans="1:14" s="2" customFormat="1">
      <c r="B9" s="364" t="s">
        <v>322</v>
      </c>
      <c r="C9" s="364"/>
      <c r="D9" s="364"/>
      <c r="E9" s="364"/>
      <c r="F9" s="364"/>
      <c r="G9" s="364"/>
      <c r="H9" s="364"/>
      <c r="I9" s="364"/>
      <c r="J9" s="364"/>
      <c r="K9" s="364"/>
      <c r="L9" s="364"/>
      <c r="N9" s="127"/>
    </row>
    <row r="10" spans="1:14" s="35" customFormat="1">
      <c r="B10" s="424"/>
      <c r="C10" s="424"/>
      <c r="D10" s="424"/>
      <c r="E10" s="424"/>
      <c r="F10" s="424"/>
      <c r="G10" s="424"/>
      <c r="H10" s="424"/>
      <c r="I10" s="424"/>
      <c r="J10" s="424"/>
      <c r="K10" s="424"/>
      <c r="L10" s="424"/>
      <c r="N10" s="223"/>
    </row>
    <row r="11" spans="1:14" s="2" customFormat="1">
      <c r="B11" s="198" t="s">
        <v>321</v>
      </c>
      <c r="C11" s="208" t="str">
        <f>'RFPR cover'!$C$14</f>
        <v>£m 12/13</v>
      </c>
      <c r="D11" s="709">
        <v>2008.234739826738</v>
      </c>
      <c r="E11" s="710">
        <v>2049.6729120023556</v>
      </c>
      <c r="F11" s="710">
        <v>2073.8020860807605</v>
      </c>
      <c r="G11" s="710">
        <v>2092.9142319651341</v>
      </c>
      <c r="H11" s="710">
        <v>2125.3437638265136</v>
      </c>
      <c r="I11" s="710">
        <v>2155.4940209393917</v>
      </c>
      <c r="J11" s="710">
        <v>2199.3361347120863</v>
      </c>
      <c r="K11" s="711">
        <v>2246.5279743634796</v>
      </c>
      <c r="N11" s="127"/>
    </row>
    <row r="12" spans="1:14" s="2" customFormat="1">
      <c r="N12" s="127"/>
    </row>
    <row r="13" spans="1:14" s="2" customFormat="1">
      <c r="B13" s="12" t="s">
        <v>324</v>
      </c>
      <c r="C13" s="1"/>
      <c r="D13" s="1"/>
      <c r="E13" s="1"/>
      <c r="F13" s="1"/>
      <c r="G13" s="1"/>
      <c r="H13" s="1"/>
      <c r="I13" s="1"/>
      <c r="J13" s="1"/>
      <c r="K13" s="1"/>
      <c r="N13" s="127"/>
    </row>
    <row r="14" spans="1:14" s="2" customFormat="1">
      <c r="B14" s="364" t="s">
        <v>346</v>
      </c>
      <c r="C14" s="318"/>
      <c r="D14" s="318"/>
      <c r="E14" s="318"/>
      <c r="F14" s="318"/>
      <c r="G14" s="318"/>
      <c r="H14" s="318"/>
      <c r="I14" s="318"/>
      <c r="J14" s="318"/>
      <c r="K14" s="318"/>
      <c r="L14" s="290"/>
      <c r="N14" s="127"/>
    </row>
    <row r="15" spans="1:14" s="35" customFormat="1">
      <c r="B15" s="424"/>
      <c r="C15" s="317"/>
      <c r="D15" s="955"/>
      <c r="E15" s="955"/>
      <c r="F15" s="955"/>
      <c r="G15" s="955"/>
      <c r="H15" s="955"/>
      <c r="I15" s="955"/>
      <c r="J15" s="955"/>
      <c r="K15" s="955"/>
      <c r="N15" s="223"/>
    </row>
    <row r="16" spans="1:14" s="2" customFormat="1">
      <c r="B16" s="388" t="s">
        <v>325</v>
      </c>
      <c r="C16" s="208" t="str">
        <f>'RFPR cover'!$C$14</f>
        <v>£m 12/13</v>
      </c>
      <c r="D16" s="578">
        <v>1963.6096594052804</v>
      </c>
      <c r="E16" s="712">
        <f>D29</f>
        <v>2008.234739826738</v>
      </c>
      <c r="F16" s="712">
        <f t="shared" ref="F16:K16" si="1">E29</f>
        <v>2049.8862893038117</v>
      </c>
      <c r="G16" s="712">
        <f t="shared" si="1"/>
        <v>2073.4976117464189</v>
      </c>
      <c r="H16" s="712">
        <f t="shared" si="1"/>
        <v>2092.5456056503231</v>
      </c>
      <c r="I16" s="712">
        <f t="shared" si="1"/>
        <v>2114.5390097103059</v>
      </c>
      <c r="J16" s="712">
        <f t="shared" si="1"/>
        <v>2141.5261511632766</v>
      </c>
      <c r="K16" s="581">
        <f t="shared" si="1"/>
        <v>2195.0658845434164</v>
      </c>
      <c r="N16" s="127"/>
    </row>
    <row r="17" spans="2:14" s="2" customFormat="1">
      <c r="B17" s="388" t="s">
        <v>326</v>
      </c>
      <c r="C17" s="208" t="str">
        <f>'RFPR cover'!$C$14</f>
        <v>£m 12/13</v>
      </c>
      <c r="D17" s="586"/>
      <c r="E17" s="587"/>
      <c r="F17" s="587"/>
      <c r="G17" s="587"/>
      <c r="H17" s="587"/>
      <c r="I17" s="587"/>
      <c r="J17" s="587"/>
      <c r="K17" s="680"/>
      <c r="N17" s="127"/>
    </row>
    <row r="18" spans="2:14" s="2" customFormat="1">
      <c r="B18" s="12" t="s">
        <v>327</v>
      </c>
      <c r="C18" s="208" t="str">
        <f>'RFPR cover'!$C$14</f>
        <v>£m 12/13</v>
      </c>
      <c r="D18" s="713">
        <f>SUM(D16:D17)</f>
        <v>1963.6096594052804</v>
      </c>
      <c r="E18" s="714">
        <f t="shared" ref="E18:K18" si="2">SUM(E16:E17)</f>
        <v>2008.234739826738</v>
      </c>
      <c r="F18" s="714">
        <f t="shared" si="2"/>
        <v>2049.8862893038117</v>
      </c>
      <c r="G18" s="714">
        <f t="shared" si="2"/>
        <v>2073.4976117464189</v>
      </c>
      <c r="H18" s="714">
        <f t="shared" si="2"/>
        <v>2092.5456056503231</v>
      </c>
      <c r="I18" s="714">
        <f t="shared" si="2"/>
        <v>2114.5390097103059</v>
      </c>
      <c r="J18" s="714">
        <f t="shared" si="2"/>
        <v>2141.5261511632766</v>
      </c>
      <c r="K18" s="715">
        <f t="shared" si="2"/>
        <v>2195.0658845434164</v>
      </c>
      <c r="N18" s="127"/>
    </row>
    <row r="19" spans="2:14" s="2" customFormat="1">
      <c r="B19" s="390" t="s">
        <v>328</v>
      </c>
      <c r="C19" s="208" t="str">
        <f>'RFPR cover'!$C$14</f>
        <v>£m 12/13</v>
      </c>
      <c r="D19" s="582">
        <v>216.43232649923772</v>
      </c>
      <c r="E19" s="583">
        <v>217.44101025322516</v>
      </c>
      <c r="F19" s="583">
        <v>201.77978028730263</v>
      </c>
      <c r="G19" s="583">
        <v>198.55974874553098</v>
      </c>
      <c r="H19" s="956">
        <v>202.99244632994279</v>
      </c>
      <c r="I19" s="583">
        <v>207.46700379541824</v>
      </c>
      <c r="J19" s="583">
        <v>216.12171766576958</v>
      </c>
      <c r="K19" s="679">
        <v>218.34350790025567</v>
      </c>
      <c r="N19" s="127"/>
    </row>
    <row r="20" spans="2:14" s="2" customFormat="1">
      <c r="B20" s="390" t="s">
        <v>335</v>
      </c>
      <c r="C20" s="208" t="str">
        <f>'RFPR cover'!$C$14</f>
        <v>£m 12/13</v>
      </c>
      <c r="D20" s="586">
        <v>0</v>
      </c>
      <c r="E20" s="587">
        <v>0</v>
      </c>
      <c r="F20" s="587">
        <v>-0.30452565592375003</v>
      </c>
      <c r="G20" s="587">
        <v>-8.1373468475043689E-2</v>
      </c>
      <c r="H20" s="587">
        <v>-1.0645931021460773</v>
      </c>
      <c r="I20" s="587">
        <v>0.10565703710515101</v>
      </c>
      <c r="J20" s="587">
        <v>2.2800113781328615</v>
      </c>
      <c r="K20" s="680">
        <v>1.7937902830319072</v>
      </c>
      <c r="N20" s="127"/>
    </row>
    <row r="21" spans="2:14" s="2" customFormat="1">
      <c r="B21" s="389" t="s">
        <v>331</v>
      </c>
      <c r="C21" s="208" t="str">
        <f>'RFPR cover'!$C$14</f>
        <v>£m 12/13</v>
      </c>
      <c r="D21" s="713">
        <f t="shared" ref="D21:K21" si="3">SUM(D19:D20)</f>
        <v>216.43232649923772</v>
      </c>
      <c r="E21" s="714">
        <f t="shared" si="3"/>
        <v>217.44101025322516</v>
      </c>
      <c r="F21" s="714">
        <f t="shared" si="3"/>
        <v>201.47525463137887</v>
      </c>
      <c r="G21" s="714">
        <f t="shared" si="3"/>
        <v>198.47837527705593</v>
      </c>
      <c r="H21" s="714">
        <f t="shared" si="3"/>
        <v>201.9278532277967</v>
      </c>
      <c r="I21" s="714">
        <f t="shared" si="3"/>
        <v>207.57266083252338</v>
      </c>
      <c r="J21" s="714">
        <f t="shared" si="3"/>
        <v>218.40172904390244</v>
      </c>
      <c r="K21" s="715">
        <f t="shared" si="3"/>
        <v>220.13729818328758</v>
      </c>
      <c r="N21" s="127"/>
    </row>
    <row r="22" spans="2:14" s="2" customFormat="1">
      <c r="B22" s="390" t="s">
        <v>329</v>
      </c>
      <c r="C22" s="208" t="str">
        <f>'RFPR cover'!$C$14</f>
        <v>£m 12/13</v>
      </c>
      <c r="D22" s="582">
        <v>-171.80724607778038</v>
      </c>
      <c r="E22" s="583">
        <v>-175.78946077615117</v>
      </c>
      <c r="F22" s="583">
        <v>-177.86393218877191</v>
      </c>
      <c r="G22" s="583">
        <v>-179.44074820399186</v>
      </c>
      <c r="H22" s="583">
        <v>-179.947319797684</v>
      </c>
      <c r="I22" s="956">
        <v>-180.62827332457073</v>
      </c>
      <c r="J22" s="956">
        <v>-164.9020229755651</v>
      </c>
      <c r="K22" s="957">
        <v>-163.91583723609534</v>
      </c>
      <c r="N22" s="127"/>
    </row>
    <row r="23" spans="2:14" s="2" customFormat="1">
      <c r="B23" s="390" t="s">
        <v>330</v>
      </c>
      <c r="C23" s="208" t="str">
        <f>'RFPR cover'!$C$14</f>
        <v>£m 12/13</v>
      </c>
      <c r="D23" s="586">
        <v>0</v>
      </c>
      <c r="E23" s="587">
        <v>0</v>
      </c>
      <c r="F23" s="587">
        <v>0</v>
      </c>
      <c r="G23" s="587">
        <v>1.0366830839957448E-2</v>
      </c>
      <c r="H23" s="587">
        <v>1.2870629869958792E-2</v>
      </c>
      <c r="I23" s="587">
        <v>4.2753945017918855E-2</v>
      </c>
      <c r="J23" s="587">
        <v>4.0027311802302054E-2</v>
      </c>
      <c r="K23" s="680">
        <v>-1.4420721108333446E-2</v>
      </c>
      <c r="N23" s="127"/>
    </row>
    <row r="24" spans="2:14" s="2" customFormat="1">
      <c r="B24" s="389" t="s">
        <v>332</v>
      </c>
      <c r="C24" s="208" t="str">
        <f>'RFPR cover'!$C$14</f>
        <v>£m 12/13</v>
      </c>
      <c r="D24" s="713">
        <f t="shared" ref="D24:K24" si="4">SUM(D22:D23)</f>
        <v>-171.80724607778038</v>
      </c>
      <c r="E24" s="714">
        <f t="shared" si="4"/>
        <v>-175.78946077615117</v>
      </c>
      <c r="F24" s="714">
        <f t="shared" si="4"/>
        <v>-177.86393218877191</v>
      </c>
      <c r="G24" s="714">
        <f t="shared" si="4"/>
        <v>-179.4303813731519</v>
      </c>
      <c r="H24" s="714">
        <f t="shared" si="4"/>
        <v>-179.93444916781405</v>
      </c>
      <c r="I24" s="714">
        <f t="shared" si="4"/>
        <v>-180.58551937955281</v>
      </c>
      <c r="J24" s="714">
        <f t="shared" si="4"/>
        <v>-164.8619956637628</v>
      </c>
      <c r="K24" s="715">
        <f t="shared" si="4"/>
        <v>-163.93025795720368</v>
      </c>
      <c r="N24" s="127"/>
    </row>
    <row r="25" spans="2:14" s="2" customFormat="1">
      <c r="B25" s="391" t="s">
        <v>268</v>
      </c>
      <c r="C25" s="208" t="str">
        <f>'RFPR cover'!$C$14</f>
        <v>£m 12/13</v>
      </c>
      <c r="D25" s="716"/>
      <c r="E25" s="717"/>
      <c r="F25" s="717"/>
      <c r="G25" s="717"/>
      <c r="H25" s="717"/>
      <c r="I25" s="717"/>
      <c r="J25" s="717"/>
      <c r="K25" s="718"/>
      <c r="N25" s="127"/>
    </row>
    <row r="26" spans="2:14" s="2" customFormat="1">
      <c r="B26" s="391" t="s">
        <v>268</v>
      </c>
      <c r="C26" s="208" t="str">
        <f>'RFPR cover'!$C$14</f>
        <v>£m 12/13</v>
      </c>
      <c r="D26" s="716"/>
      <c r="E26" s="717"/>
      <c r="F26" s="717"/>
      <c r="G26" s="717"/>
      <c r="H26" s="717"/>
      <c r="I26" s="717"/>
      <c r="J26" s="717"/>
      <c r="K26" s="718"/>
      <c r="N26" s="127"/>
    </row>
    <row r="27" spans="2:14" s="2" customFormat="1">
      <c r="B27" s="391" t="s">
        <v>268</v>
      </c>
      <c r="C27" s="208" t="str">
        <f>'RFPR cover'!$C$14</f>
        <v>£m 12/13</v>
      </c>
      <c r="D27" s="716"/>
      <c r="E27" s="717"/>
      <c r="F27" s="717"/>
      <c r="G27" s="717"/>
      <c r="H27" s="717"/>
      <c r="I27" s="717"/>
      <c r="J27" s="717"/>
      <c r="K27" s="718"/>
      <c r="N27" s="127"/>
    </row>
    <row r="28" spans="2:14" s="2" customFormat="1">
      <c r="B28" s="389" t="s">
        <v>333</v>
      </c>
      <c r="C28" s="208" t="str">
        <f>'RFPR cover'!$C$14</f>
        <v>£m 12/13</v>
      </c>
      <c r="D28" s="719">
        <f>SUM(D25:D27)</f>
        <v>0</v>
      </c>
      <c r="E28" s="720">
        <f t="shared" ref="E28:K28" si="5">SUM(E25:E27)</f>
        <v>0</v>
      </c>
      <c r="F28" s="720">
        <f t="shared" si="5"/>
        <v>0</v>
      </c>
      <c r="G28" s="720">
        <f t="shared" si="5"/>
        <v>0</v>
      </c>
      <c r="H28" s="720">
        <f t="shared" si="5"/>
        <v>0</v>
      </c>
      <c r="I28" s="720">
        <f t="shared" si="5"/>
        <v>0</v>
      </c>
      <c r="J28" s="720">
        <f t="shared" si="5"/>
        <v>0</v>
      </c>
      <c r="K28" s="721">
        <f t="shared" si="5"/>
        <v>0</v>
      </c>
      <c r="N28" s="127"/>
    </row>
    <row r="29" spans="2:14" s="2" customFormat="1">
      <c r="B29" s="12" t="s">
        <v>334</v>
      </c>
      <c r="C29" s="208" t="str">
        <f>'RFPR cover'!$C$14</f>
        <v>£m 12/13</v>
      </c>
      <c r="D29" s="722">
        <f>D18+D21+D24+D28</f>
        <v>2008.234739826738</v>
      </c>
      <c r="E29" s="723">
        <f t="shared" ref="E29:K29" si="6">E18+E21+E24+E28</f>
        <v>2049.8862893038117</v>
      </c>
      <c r="F29" s="723">
        <f t="shared" si="6"/>
        <v>2073.4976117464189</v>
      </c>
      <c r="G29" s="723">
        <f t="shared" si="6"/>
        <v>2092.5456056503231</v>
      </c>
      <c r="H29" s="723">
        <f t="shared" si="6"/>
        <v>2114.5390097103059</v>
      </c>
      <c r="I29" s="723">
        <f t="shared" si="6"/>
        <v>2141.5261511632766</v>
      </c>
      <c r="J29" s="723">
        <f t="shared" si="6"/>
        <v>2195.0658845434164</v>
      </c>
      <c r="K29" s="724">
        <f t="shared" si="6"/>
        <v>2251.2729247695002</v>
      </c>
      <c r="N29" s="127"/>
    </row>
    <row r="30" spans="2:14" s="2" customFormat="1">
      <c r="B30" s="12"/>
      <c r="C30" s="208"/>
      <c r="D30" s="208"/>
      <c r="E30" s="208"/>
      <c r="F30" s="208"/>
      <c r="G30" s="208"/>
      <c r="H30" s="208"/>
      <c r="I30" s="208"/>
      <c r="J30" s="208"/>
      <c r="K30" s="208"/>
      <c r="L30" s="208"/>
      <c r="N30" s="127"/>
    </row>
    <row r="31" spans="2:14" s="2" customFormat="1">
      <c r="B31" s="12" t="s">
        <v>511</v>
      </c>
      <c r="C31" s="208" t="str">
        <f>'RFPR cover'!$C$14</f>
        <v>£m 12/13</v>
      </c>
      <c r="D31" s="722">
        <f t="shared" ref="D31:K31" si="7">(D20+D23+D28)</f>
        <v>0</v>
      </c>
      <c r="E31" s="722">
        <f t="shared" si="7"/>
        <v>0</v>
      </c>
      <c r="F31" s="722">
        <f t="shared" si="7"/>
        <v>-0.30452565592375003</v>
      </c>
      <c r="G31" s="722">
        <f t="shared" si="7"/>
        <v>-7.1006637635086245E-2</v>
      </c>
      <c r="H31" s="722">
        <f t="shared" si="7"/>
        <v>-1.0517224722761185</v>
      </c>
      <c r="I31" s="722">
        <f t="shared" si="7"/>
        <v>0.14841098212306986</v>
      </c>
      <c r="J31" s="722">
        <f t="shared" si="7"/>
        <v>2.3200386899351635</v>
      </c>
      <c r="K31" s="722">
        <f t="shared" si="7"/>
        <v>1.7793695619235739</v>
      </c>
      <c r="L31" s="208"/>
      <c r="N31" s="127"/>
    </row>
    <row r="32" spans="2:14" s="2" customFormat="1">
      <c r="B32" s="12" t="s">
        <v>512</v>
      </c>
      <c r="C32" s="208"/>
      <c r="D32" s="511" t="str">
        <f>IF(D5="Actuals",IF(ABS((D29-SUM($D$31:D31))-D11)&lt;'RFPR cover'!$F$14,"TRUE","FALSE"),"NA")</f>
        <v>TRUE</v>
      </c>
      <c r="E32" s="511" t="str">
        <f>IF(E5="Actuals",IF(ABS((E29-SUM($D$31:E31))-E11)&lt;'RFPR cover'!$F$14,"TRUE","FALSE"),"NA")</f>
        <v>FALSE</v>
      </c>
      <c r="F32" s="511" t="str">
        <f>IF(F5="Actuals",IF(ABS((F29-SUM($D$31:F31))-F11)&lt;'RFPR cover'!$F$14,"TRUE","FALSE"),"NA")</f>
        <v>TRUE</v>
      </c>
      <c r="G32" s="511" t="str">
        <f>IF(G5="Actuals",IF(ABS((G29-SUM($D$31:G31))-G11)&lt;'RFPR cover'!$F$14,"TRUE","FALSE"),"NA")</f>
        <v>TRUE</v>
      </c>
      <c r="H32" s="511" t="str">
        <f>IF(H5="Actuals",IF(ABS((H29-SUM($D$31:H31))-H11)&lt;'RFPR cover'!$F$14,"TRUE","FALSE"),"NA")</f>
        <v>NA</v>
      </c>
      <c r="I32" s="511" t="str">
        <f>IF(I5="Actuals",IF(ABS((I29-SUM($D$31:I31))-I11)&lt;'RFPR cover'!$F$14,"TRUE","FALSE"),"NA")</f>
        <v>NA</v>
      </c>
      <c r="J32" s="511" t="str">
        <f>IF(J5="Actuals",IF(ABS((J29-SUM($D$31:J31))-J11)&lt;'RFPR cover'!$F$14,"TRUE","FALSE"),"NA")</f>
        <v>NA</v>
      </c>
      <c r="K32" s="511" t="str">
        <f>IF(K5="Actuals",IF(ABS((K29-SUM($D$31:K31))-K11)&lt;'RFPR cover'!$F$14,"TRUE","FALSE"),"NA")</f>
        <v>NA</v>
      </c>
      <c r="L32" s="208"/>
      <c r="N32" s="127"/>
    </row>
    <row r="33" spans="2:14" s="35" customFormat="1">
      <c r="B33" s="51"/>
      <c r="C33" s="473"/>
      <c r="D33" s="474"/>
      <c r="E33" s="474"/>
      <c r="F33" s="474"/>
      <c r="G33" s="474"/>
      <c r="H33" s="474"/>
      <c r="I33" s="474"/>
      <c r="J33" s="474"/>
      <c r="K33" s="474"/>
      <c r="N33" s="223"/>
    </row>
    <row r="34" spans="2:14" s="35" customFormat="1">
      <c r="B34" s="51" t="s">
        <v>42</v>
      </c>
      <c r="C34" s="265" t="s">
        <v>127</v>
      </c>
      <c r="D34" s="110">
        <f>Data!C$35</f>
        <v>1.0677429242873198</v>
      </c>
      <c r="E34" s="110">
        <f>Data!D$35</f>
        <v>1.1033002963114336</v>
      </c>
      <c r="F34" s="110">
        <f>Data!E$35</f>
        <v>1.1402881373250229</v>
      </c>
      <c r="G34" s="110">
        <f>Data!F$35</f>
        <v>1.171554102380709</v>
      </c>
      <c r="H34" s="110">
        <f>Data!G$35</f>
        <v>1.1958720752017984</v>
      </c>
      <c r="I34" s="110">
        <f>Data!H$35</f>
        <v>1.2162019004802289</v>
      </c>
      <c r="J34" s="110">
        <f>Data!I$35</f>
        <v>1.2420461908654337</v>
      </c>
      <c r="K34" s="110">
        <f>Data!J$35</f>
        <v>1.2740288802802187</v>
      </c>
      <c r="N34" s="223"/>
    </row>
    <row r="35" spans="2:14" s="31" customFormat="1">
      <c r="B35" s="37" t="s">
        <v>375</v>
      </c>
      <c r="C35" s="265" t="s">
        <v>127</v>
      </c>
      <c r="D35" s="110">
        <f>Data!C$34</f>
        <v>1.0603167467048125</v>
      </c>
      <c r="E35" s="111">
        <f>Data!D$34</f>
        <v>1.0830366813119445</v>
      </c>
      <c r="F35" s="111">
        <f>Data!E$34</f>
        <v>1.1235639113109226</v>
      </c>
      <c r="G35" s="111">
        <f>Data!F$34</f>
        <v>1.1578951670583426</v>
      </c>
      <c r="H35" s="111">
        <f>Data!G$34</f>
        <v>1.1878696229692449</v>
      </c>
      <c r="I35" s="111">
        <f>Data!H$34</f>
        <v>1.2080634065597218</v>
      </c>
      <c r="J35" s="111">
        <f>Data!I$34</f>
        <v>1.2337347539491161</v>
      </c>
      <c r="K35" s="112">
        <f>Data!J$34</f>
        <v>1.2655034238633056</v>
      </c>
      <c r="L35" s="232"/>
      <c r="N35" s="210"/>
    </row>
    <row r="36" spans="2:14" s="31" customFormat="1">
      <c r="B36" s="169" t="s">
        <v>509</v>
      </c>
      <c r="C36" s="265" t="s">
        <v>127</v>
      </c>
      <c r="D36" s="863">
        <f>INDEX(Data!$F$14:$F$30,MATCH($D$6-1,Data!$C$14:$C$30,0),0)/IF('RFPR cover'!$C$6="ED1",Data!$E$17,Data!$E$14)</f>
        <v>1.0526208235414325</v>
      </c>
      <c r="E36" s="864"/>
      <c r="F36" s="864"/>
      <c r="G36" s="864"/>
      <c r="H36" s="864"/>
      <c r="I36" s="864"/>
      <c r="J36" s="864"/>
      <c r="K36" s="864"/>
      <c r="L36" s="232"/>
      <c r="N36" s="210"/>
    </row>
    <row r="37" spans="2:14" s="35" customFormat="1">
      <c r="B37" s="51"/>
      <c r="C37" s="473"/>
      <c r="D37" s="474"/>
      <c r="E37" s="474"/>
      <c r="F37" s="474"/>
      <c r="G37" s="474"/>
      <c r="H37" s="474"/>
      <c r="I37" s="474"/>
      <c r="J37" s="474"/>
      <c r="K37" s="474"/>
      <c r="N37" s="223"/>
    </row>
    <row r="38" spans="2:14" s="2" customFormat="1">
      <c r="B38" s="12" t="s">
        <v>334</v>
      </c>
      <c r="C38" s="264" t="s">
        <v>128</v>
      </c>
      <c r="D38" s="722">
        <f t="shared" ref="D38:K38" si="8">D29*D34</f>
        <v>2144.278433757986</v>
      </c>
      <c r="E38" s="722">
        <f t="shared" si="8"/>
        <v>2261.6401503936404</v>
      </c>
      <c r="F38" s="722">
        <f t="shared" si="8"/>
        <v>2364.3847294462075</v>
      </c>
      <c r="G38" s="722">
        <f t="shared" si="8"/>
        <v>2451.5303887183613</v>
      </c>
      <c r="H38" s="722">
        <f t="shared" si="8"/>
        <v>2528.7181536374192</v>
      </c>
      <c r="I38" s="722">
        <f t="shared" si="8"/>
        <v>2604.528174972887</v>
      </c>
      <c r="J38" s="722">
        <f t="shared" si="8"/>
        <v>2726.373220595814</v>
      </c>
      <c r="K38" s="722">
        <f t="shared" si="8"/>
        <v>2868.1867235492591</v>
      </c>
      <c r="N38" s="127"/>
    </row>
    <row r="39" spans="2:14" s="2" customFormat="1">
      <c r="B39" s="12"/>
      <c r="C39" s="208"/>
      <c r="D39" s="208"/>
      <c r="E39" s="208"/>
      <c r="F39" s="208"/>
      <c r="G39" s="208"/>
      <c r="H39" s="208"/>
      <c r="I39" s="208"/>
      <c r="J39" s="208"/>
      <c r="K39" s="208"/>
      <c r="N39" s="127"/>
    </row>
    <row r="40" spans="2:14" s="2" customFormat="1">
      <c r="B40" s="502" t="s">
        <v>337</v>
      </c>
      <c r="C40" s="208" t="s">
        <v>340</v>
      </c>
      <c r="D40" s="404">
        <f>INDEX(Data!$K$73:$T$100,MATCH('RFPR cover'!$C$5,Data!$B$73:$B$100,0),MATCH('R9 - RAV'!D$6,Data!$K$72:$T$72,0))</f>
        <v>2.5499999999999998E-2</v>
      </c>
      <c r="E40" s="405">
        <f>INDEX(Data!$K$73:$T$100,MATCH('RFPR cover'!$C$5,Data!$B$73:$B$100,0),MATCH('R9 - RAV'!E$6,Data!$K$72:$T$72,0))</f>
        <v>2.3799999999999998E-2</v>
      </c>
      <c r="F40" s="405">
        <f>INDEX(Data!$K$73:$T$100,MATCH('RFPR cover'!$C$5,Data!$B$73:$B$100,0),MATCH('R9 - RAV'!F$6,Data!$K$72:$T$72,0))</f>
        <v>2.2200000000000001E-2</v>
      </c>
      <c r="G40" s="405">
        <f>INDEX(Data!$K$73:$T$100,MATCH('RFPR cover'!$C$5,Data!$B$73:$B$100,0),MATCH('R9 - RAV'!G$6,Data!$K$72:$T$72,0))</f>
        <v>1.9099999999999999E-2</v>
      </c>
      <c r="H40" s="405">
        <f>INDEX(Data!$K$73:$T$100,MATCH('RFPR cover'!$C$5,Data!$B$73:$B$100,0),MATCH('R9 - RAV'!H$6,Data!$K$72:$T$72,0))</f>
        <v>1.5800000000000002E-2</v>
      </c>
      <c r="I40" s="405">
        <f>INDEX(Data!$K$73:$T$100,MATCH('RFPR cover'!$C$5,Data!$B$73:$B$100,0),MATCH('R9 - RAV'!I$6,Data!$K$72:$T$72,0))</f>
        <v>1.09E-2</v>
      </c>
      <c r="J40" s="405">
        <f>INDEX(Data!$K$73:$T$100,MATCH('RFPR cover'!$C$5,Data!$B$73:$B$100,0),MATCH('R9 - RAV'!J$6,Data!$K$72:$T$72,0))</f>
        <v>7.7000000000000002E-3</v>
      </c>
      <c r="K40" s="406">
        <f>INDEX(Data!$K$73:$T$100,MATCH('RFPR cover'!$C$5,Data!$B$73:$B$100,0),MATCH('R9 - RAV'!K$6,Data!$K$72:$T$72,0))</f>
        <v>4.5999999999999999E-3</v>
      </c>
      <c r="N40" s="127"/>
    </row>
    <row r="41" spans="2:14" s="2" customFormat="1">
      <c r="B41" s="502" t="s">
        <v>338</v>
      </c>
      <c r="C41" s="208" t="s">
        <v>340</v>
      </c>
      <c r="D41" s="407">
        <f>'RFPR cover'!$C$10</f>
        <v>6.4000000000000001E-2</v>
      </c>
      <c r="E41" s="408">
        <f>'RFPR cover'!$C$10</f>
        <v>6.4000000000000001E-2</v>
      </c>
      <c r="F41" s="408">
        <f>'RFPR cover'!$C$10</f>
        <v>6.4000000000000001E-2</v>
      </c>
      <c r="G41" s="408">
        <f>'RFPR cover'!$C$10</f>
        <v>6.4000000000000001E-2</v>
      </c>
      <c r="H41" s="408">
        <f>'RFPR cover'!$C$10</f>
        <v>6.4000000000000001E-2</v>
      </c>
      <c r="I41" s="408">
        <f>'RFPR cover'!$C$10</f>
        <v>6.4000000000000001E-2</v>
      </c>
      <c r="J41" s="408">
        <f>'RFPR cover'!$C$10</f>
        <v>6.4000000000000001E-2</v>
      </c>
      <c r="K41" s="409">
        <f>'RFPR cover'!$C$10</f>
        <v>6.4000000000000001E-2</v>
      </c>
      <c r="N41" s="127"/>
    </row>
    <row r="42" spans="2:14" s="2" customFormat="1">
      <c r="B42" s="502" t="s">
        <v>339</v>
      </c>
      <c r="C42" s="208" t="s">
        <v>7</v>
      </c>
      <c r="D42" s="410">
        <f>'RFPR cover'!$C$12</f>
        <v>0.65</v>
      </c>
      <c r="E42" s="411">
        <f>'RFPR cover'!$C$12</f>
        <v>0.65</v>
      </c>
      <c r="F42" s="411">
        <f>'RFPR cover'!$C$12</f>
        <v>0.65</v>
      </c>
      <c r="G42" s="411">
        <f>'RFPR cover'!$C$12</f>
        <v>0.65</v>
      </c>
      <c r="H42" s="411">
        <f>'RFPR cover'!$C$12</f>
        <v>0.65</v>
      </c>
      <c r="I42" s="411">
        <f>'RFPR cover'!$C$12</f>
        <v>0.65</v>
      </c>
      <c r="J42" s="411">
        <f>'RFPR cover'!$C$12</f>
        <v>0.65</v>
      </c>
      <c r="K42" s="412">
        <f>'RFPR cover'!$C$12</f>
        <v>0.65</v>
      </c>
      <c r="N42" s="127"/>
    </row>
    <row r="43" spans="2:14">
      <c r="B43" s="198" t="s">
        <v>273</v>
      </c>
      <c r="C43" s="392" t="s">
        <v>340</v>
      </c>
      <c r="D43" s="401">
        <f t="shared" ref="D43:K43" si="9">D40*D42+D41*(1-D42)</f>
        <v>3.8974999999999996E-2</v>
      </c>
      <c r="E43" s="402">
        <f t="shared" si="9"/>
        <v>3.7870000000000001E-2</v>
      </c>
      <c r="F43" s="402">
        <f t="shared" si="9"/>
        <v>3.6830000000000002E-2</v>
      </c>
      <c r="G43" s="402">
        <f t="shared" si="9"/>
        <v>3.4814999999999999E-2</v>
      </c>
      <c r="H43" s="402">
        <f t="shared" si="9"/>
        <v>3.2670000000000005E-2</v>
      </c>
      <c r="I43" s="402">
        <f t="shared" si="9"/>
        <v>2.9485000000000001E-2</v>
      </c>
      <c r="J43" s="402">
        <f t="shared" si="9"/>
        <v>2.7404999999999999E-2</v>
      </c>
      <c r="K43" s="403">
        <f t="shared" si="9"/>
        <v>2.5389999999999999E-2</v>
      </c>
      <c r="L43" s="209"/>
    </row>
    <row r="44" spans="2:14">
      <c r="C44" s="221"/>
      <c r="D44" s="216"/>
      <c r="E44" s="216"/>
      <c r="F44" s="216"/>
      <c r="G44" s="216"/>
      <c r="H44" s="216"/>
      <c r="I44" s="216"/>
      <c r="J44" s="216"/>
      <c r="K44" s="216"/>
    </row>
    <row r="45" spans="2:14">
      <c r="B45" s="367" t="s">
        <v>341</v>
      </c>
      <c r="C45" s="392" t="str">
        <f>'RFPR cover'!$C$14</f>
        <v>£m 12/13</v>
      </c>
      <c r="D45" s="93">
        <f t="shared" ref="D45:K45" si="10">D47*D42</f>
        <v>1266.3656275222072</v>
      </c>
      <c r="E45" s="94">
        <f t="shared" si="10"/>
        <v>1294.5804248957299</v>
      </c>
      <c r="F45" s="94">
        <f t="shared" si="10"/>
        <v>1316.1621425428655</v>
      </c>
      <c r="G45" s="94">
        <f t="shared" si="10"/>
        <v>1331.0837318203257</v>
      </c>
      <c r="H45" s="94">
        <f t="shared" si="10"/>
        <v>1345.5611435372366</v>
      </c>
      <c r="I45" s="94">
        <f t="shared" si="10"/>
        <v>1363.2874803050452</v>
      </c>
      <c r="J45" s="94">
        <f t="shared" si="10"/>
        <v>1390.3632763718106</v>
      </c>
      <c r="K45" s="95">
        <f t="shared" si="10"/>
        <v>1426.9431610796662</v>
      </c>
    </row>
    <row r="46" spans="2:14">
      <c r="B46" s="367" t="s">
        <v>232</v>
      </c>
      <c r="C46" s="392" t="str">
        <f>'RFPR cover'!$C$14</f>
        <v>£m 12/13</v>
      </c>
      <c r="D46" s="517">
        <f t="shared" ref="D46:K46" si="11">D47*(1-D42)</f>
        <v>681.8891840504192</v>
      </c>
      <c r="E46" s="518">
        <f t="shared" si="11"/>
        <v>697.08176725154681</v>
      </c>
      <c r="F46" s="518">
        <f t="shared" si="11"/>
        <v>708.70269213846598</v>
      </c>
      <c r="G46" s="518">
        <f t="shared" si="11"/>
        <v>716.73739405709841</v>
      </c>
      <c r="H46" s="518">
        <f t="shared" si="11"/>
        <v>724.5329234431274</v>
      </c>
      <c r="I46" s="518">
        <f t="shared" si="11"/>
        <v>734.07787401040889</v>
      </c>
      <c r="J46" s="518">
        <f t="shared" si="11"/>
        <v>748.65714881559018</v>
      </c>
      <c r="K46" s="519">
        <f t="shared" si="11"/>
        <v>768.35400981212786</v>
      </c>
    </row>
    <row r="47" spans="2:14">
      <c r="B47" s="198" t="s">
        <v>231</v>
      </c>
      <c r="C47" s="208" t="str">
        <f>'RFPR cover'!$C$14</f>
        <v>£m 12/13</v>
      </c>
      <c r="D47" s="100">
        <f t="shared" ref="D47:K47" si="12">AVERAGE(D16,D29*(1/(1+D43)))</f>
        <v>1948.2548115726263</v>
      </c>
      <c r="E47" s="101">
        <f t="shared" si="12"/>
        <v>1991.6621921472768</v>
      </c>
      <c r="F47" s="101">
        <f t="shared" si="12"/>
        <v>2024.8648346813316</v>
      </c>
      <c r="G47" s="101">
        <f t="shared" si="12"/>
        <v>2047.821125877424</v>
      </c>
      <c r="H47" s="101">
        <f t="shared" si="12"/>
        <v>2070.094066980364</v>
      </c>
      <c r="I47" s="101">
        <f t="shared" si="12"/>
        <v>2097.3653543154542</v>
      </c>
      <c r="J47" s="101">
        <f t="shared" si="12"/>
        <v>2139.0204251874006</v>
      </c>
      <c r="K47" s="102">
        <f t="shared" si="12"/>
        <v>2195.2971708917939</v>
      </c>
      <c r="N47" s="212"/>
    </row>
    <row r="48" spans="2:14">
      <c r="B48" s="198"/>
      <c r="C48" s="208"/>
      <c r="D48" s="208"/>
      <c r="E48" s="208"/>
      <c r="F48" s="208"/>
      <c r="G48" s="208"/>
      <c r="H48" s="208"/>
      <c r="I48" s="208"/>
      <c r="J48" s="208"/>
      <c r="K48" s="208"/>
      <c r="N48" s="212"/>
    </row>
    <row r="49" spans="2:14">
      <c r="B49" s="367" t="s">
        <v>342</v>
      </c>
      <c r="C49" s="392" t="str">
        <f>'RFPR cover'!$C$14</f>
        <v>£m 12/13</v>
      </c>
      <c r="D49" s="725">
        <f>D40*D45</f>
        <v>32.292323501816284</v>
      </c>
      <c r="E49" s="726">
        <f t="shared" ref="D49:K50" si="13">E40*E45</f>
        <v>30.811014112518372</v>
      </c>
      <c r="F49" s="726">
        <f t="shared" si="13"/>
        <v>29.218799564451615</v>
      </c>
      <c r="G49" s="726">
        <f t="shared" si="13"/>
        <v>25.423699277768222</v>
      </c>
      <c r="H49" s="726">
        <f t="shared" si="13"/>
        <v>21.259866067888339</v>
      </c>
      <c r="I49" s="726">
        <f t="shared" si="13"/>
        <v>14.859833535324992</v>
      </c>
      <c r="J49" s="726">
        <f t="shared" si="13"/>
        <v>10.705797228062941</v>
      </c>
      <c r="K49" s="727">
        <f t="shared" si="13"/>
        <v>6.5639385409664648</v>
      </c>
    </row>
    <row r="50" spans="2:14">
      <c r="B50" s="367" t="s">
        <v>229</v>
      </c>
      <c r="C50" s="392" t="str">
        <f>'RFPR cover'!$C$14</f>
        <v>£m 12/13</v>
      </c>
      <c r="D50" s="90">
        <f t="shared" si="13"/>
        <v>43.640907779226829</v>
      </c>
      <c r="E50" s="91">
        <f t="shared" si="13"/>
        <v>44.613233104098995</v>
      </c>
      <c r="F50" s="91">
        <f t="shared" si="13"/>
        <v>45.356972296861827</v>
      </c>
      <c r="G50" s="91">
        <f t="shared" si="13"/>
        <v>45.871193219654302</v>
      </c>
      <c r="H50" s="91">
        <f t="shared" si="13"/>
        <v>46.370107100360151</v>
      </c>
      <c r="I50" s="91">
        <f t="shared" si="13"/>
        <v>46.980983936666171</v>
      </c>
      <c r="J50" s="91">
        <f t="shared" si="13"/>
        <v>47.914057524197773</v>
      </c>
      <c r="K50" s="92">
        <f t="shared" si="13"/>
        <v>49.174656627976184</v>
      </c>
      <c r="N50" s="212"/>
    </row>
    <row r="51" spans="2:14">
      <c r="B51" s="198" t="s">
        <v>344</v>
      </c>
      <c r="C51" s="392" t="str">
        <f>'RFPR cover'!$C$14</f>
        <v>£m 12/13</v>
      </c>
      <c r="D51" s="100">
        <f>SUM(D49:D50)</f>
        <v>75.933231281043106</v>
      </c>
      <c r="E51" s="101">
        <f t="shared" ref="E51:K51" si="14">SUM(E49:E50)</f>
        <v>75.424247216617374</v>
      </c>
      <c r="F51" s="101">
        <f t="shared" si="14"/>
        <v>74.575771861313441</v>
      </c>
      <c r="G51" s="101">
        <f t="shared" si="14"/>
        <v>71.294892497422524</v>
      </c>
      <c r="H51" s="101">
        <f t="shared" si="14"/>
        <v>67.629973168248483</v>
      </c>
      <c r="I51" s="101">
        <f t="shared" si="14"/>
        <v>61.840817471991159</v>
      </c>
      <c r="J51" s="101">
        <f t="shared" si="14"/>
        <v>58.619854752260714</v>
      </c>
      <c r="K51" s="102">
        <f t="shared" si="14"/>
        <v>55.738595168942652</v>
      </c>
      <c r="N51" s="212"/>
    </row>
    <row r="53" spans="2:14" s="31" customFormat="1">
      <c r="B53" s="367" t="s">
        <v>341</v>
      </c>
      <c r="C53" s="264" t="s">
        <v>128</v>
      </c>
      <c r="D53" s="93">
        <f t="shared" ref="D53:K54" si="15">D$35*D45</f>
        <v>1342.7486823131451</v>
      </c>
      <c r="E53" s="94">
        <f t="shared" si="15"/>
        <v>1402.0780870704784</v>
      </c>
      <c r="F53" s="94">
        <f t="shared" si="15"/>
        <v>1478.7922847948259</v>
      </c>
      <c r="G53" s="94">
        <f t="shared" si="15"/>
        <v>1541.2554200247382</v>
      </c>
      <c r="H53" s="94">
        <f t="shared" si="15"/>
        <v>1598.3512082556433</v>
      </c>
      <c r="I53" s="94">
        <f t="shared" si="15"/>
        <v>1646.9377175775326</v>
      </c>
      <c r="J53" s="94">
        <f t="shared" si="15"/>
        <v>1715.3394946744627</v>
      </c>
      <c r="K53" s="95">
        <f t="shared" si="15"/>
        <v>1805.8014560046461</v>
      </c>
      <c r="L53" s="232"/>
      <c r="N53" s="210"/>
    </row>
    <row r="54" spans="2:14" s="31" customFormat="1">
      <c r="B54" s="367" t="s">
        <v>232</v>
      </c>
      <c r="C54" s="264" t="s">
        <v>128</v>
      </c>
      <c r="D54" s="517">
        <f t="shared" si="15"/>
        <v>723.01852124553955</v>
      </c>
      <c r="E54" s="518">
        <f t="shared" si="15"/>
        <v>754.96512380718059</v>
      </c>
      <c r="F54" s="518">
        <f t="shared" si="15"/>
        <v>796.27276873567541</v>
      </c>
      <c r="G54" s="518">
        <f t="shared" si="15"/>
        <v>829.9067646287051</v>
      </c>
      <c r="H54" s="518">
        <f t="shared" si="15"/>
        <v>860.65065059919255</v>
      </c>
      <c r="I54" s="518">
        <f t="shared" si="15"/>
        <v>886.81261715713276</v>
      </c>
      <c r="J54" s="518">
        <f t="shared" si="15"/>
        <v>923.64434328624895</v>
      </c>
      <c r="K54" s="519">
        <f t="shared" si="15"/>
        <v>972.35463015634775</v>
      </c>
      <c r="L54" s="232"/>
      <c r="N54" s="210"/>
    </row>
    <row r="55" spans="2:14">
      <c r="B55" s="198" t="s">
        <v>343</v>
      </c>
      <c r="C55" s="264" t="s">
        <v>128</v>
      </c>
      <c r="D55" s="728">
        <f>SUM(D53:D54)</f>
        <v>2065.7672035586847</v>
      </c>
      <c r="E55" s="729">
        <f t="shared" ref="E55:K55" si="16">SUM(E53:E54)</f>
        <v>2157.043210877659</v>
      </c>
      <c r="F55" s="729">
        <f t="shared" si="16"/>
        <v>2275.0650535305012</v>
      </c>
      <c r="G55" s="729">
        <f t="shared" si="16"/>
        <v>2371.1621846534435</v>
      </c>
      <c r="H55" s="729">
        <f t="shared" si="16"/>
        <v>2459.001858854836</v>
      </c>
      <c r="I55" s="729">
        <f t="shared" si="16"/>
        <v>2533.7503347346656</v>
      </c>
      <c r="J55" s="729">
        <f t="shared" si="16"/>
        <v>2638.9838379607118</v>
      </c>
      <c r="K55" s="730">
        <f t="shared" si="16"/>
        <v>2778.1560861609937</v>
      </c>
    </row>
    <row r="56" spans="2:14" s="31" customFormat="1">
      <c r="B56" s="198"/>
      <c r="C56" s="208"/>
      <c r="D56" s="208"/>
      <c r="E56" s="208"/>
      <c r="F56" s="208"/>
      <c r="G56" s="208"/>
      <c r="H56" s="208"/>
      <c r="I56" s="208"/>
      <c r="J56" s="208"/>
      <c r="K56" s="208"/>
      <c r="L56" s="232"/>
      <c r="N56" s="210"/>
    </row>
    <row r="57" spans="2:14" s="31" customFormat="1">
      <c r="B57" s="367" t="s">
        <v>342</v>
      </c>
      <c r="C57" s="264" t="s">
        <v>128</v>
      </c>
      <c r="D57" s="93">
        <f t="shared" ref="D57:K58" si="17">D$35*D49</f>
        <v>34.2400913989852</v>
      </c>
      <c r="E57" s="94">
        <f t="shared" si="17"/>
        <v>33.369458472277387</v>
      </c>
      <c r="F57" s="94">
        <f t="shared" si="17"/>
        <v>32.829188722445139</v>
      </c>
      <c r="G57" s="94">
        <f t="shared" si="17"/>
        <v>29.437978522472498</v>
      </c>
      <c r="H57" s="94">
        <f t="shared" si="17"/>
        <v>25.253949090439164</v>
      </c>
      <c r="I57" s="94">
        <f t="shared" si="17"/>
        <v>17.951621121595103</v>
      </c>
      <c r="J57" s="94">
        <f t="shared" si="17"/>
        <v>13.208114108993362</v>
      </c>
      <c r="K57" s="95">
        <f t="shared" si="17"/>
        <v>8.3066866976213714</v>
      </c>
      <c r="L57" s="232"/>
      <c r="N57" s="210"/>
    </row>
    <row r="58" spans="2:14">
      <c r="B58" s="367" t="s">
        <v>238</v>
      </c>
      <c r="C58" s="264" t="s">
        <v>128</v>
      </c>
      <c r="D58" s="731">
        <f t="shared" si="17"/>
        <v>46.273185359714532</v>
      </c>
      <c r="E58" s="732">
        <f t="shared" si="17"/>
        <v>48.317767923659559</v>
      </c>
      <c r="F58" s="732">
        <f t="shared" si="17"/>
        <v>50.961457199083235</v>
      </c>
      <c r="G58" s="732">
        <f t="shared" si="17"/>
        <v>53.11403293623713</v>
      </c>
      <c r="H58" s="732">
        <f t="shared" si="17"/>
        <v>55.081641638348323</v>
      </c>
      <c r="I58" s="732">
        <f t="shared" si="17"/>
        <v>56.756007498056505</v>
      </c>
      <c r="J58" s="732">
        <f t="shared" si="17"/>
        <v>59.113237970319936</v>
      </c>
      <c r="K58" s="733">
        <f t="shared" si="17"/>
        <v>62.230696330006253</v>
      </c>
    </row>
    <row r="59" spans="2:14">
      <c r="B59" s="198" t="s">
        <v>344</v>
      </c>
      <c r="C59" s="264" t="s">
        <v>128</v>
      </c>
      <c r="D59" s="100">
        <f t="shared" ref="D59:K59" si="18">SUM(D57:D58)</f>
        <v>80.513276758699732</v>
      </c>
      <c r="E59" s="101">
        <f t="shared" si="18"/>
        <v>81.687226395936946</v>
      </c>
      <c r="F59" s="101">
        <f t="shared" si="18"/>
        <v>83.79064592152838</v>
      </c>
      <c r="G59" s="101">
        <f t="shared" si="18"/>
        <v>82.552011458709629</v>
      </c>
      <c r="H59" s="101">
        <f t="shared" si="18"/>
        <v>80.33559072878748</v>
      </c>
      <c r="I59" s="101">
        <f t="shared" si="18"/>
        <v>74.707628619651615</v>
      </c>
      <c r="J59" s="101">
        <f t="shared" si="18"/>
        <v>72.3213520793133</v>
      </c>
      <c r="K59" s="102">
        <f t="shared" si="18"/>
        <v>70.537383027627627</v>
      </c>
    </row>
    <row r="60" spans="2:14">
      <c r="B60" s="14"/>
      <c r="C60" s="233"/>
      <c r="D60" s="233"/>
      <c r="E60" s="233"/>
      <c r="F60" s="233"/>
      <c r="G60" s="233"/>
      <c r="H60" s="233"/>
      <c r="I60" s="233"/>
      <c r="J60" s="233"/>
      <c r="K60" s="233"/>
    </row>
    <row r="61" spans="2:14">
      <c r="B61" s="14"/>
      <c r="C61" s="233"/>
      <c r="D61" s="233"/>
      <c r="E61" s="233"/>
      <c r="F61" s="233"/>
      <c r="G61" s="233"/>
      <c r="H61" s="233"/>
      <c r="I61" s="233"/>
      <c r="J61" s="233"/>
      <c r="K61" s="233"/>
    </row>
    <row r="62" spans="2:14">
      <c r="B62" s="14"/>
      <c r="C62" s="233"/>
      <c r="D62" s="233"/>
      <c r="E62" s="233"/>
      <c r="F62" s="233"/>
      <c r="G62" s="233"/>
      <c r="H62" s="233"/>
      <c r="I62" s="233"/>
      <c r="J62" s="233"/>
      <c r="K62" s="233"/>
    </row>
    <row r="63" spans="2:14">
      <c r="B63" s="14"/>
      <c r="C63" s="233"/>
      <c r="D63" s="233"/>
      <c r="E63" s="233"/>
      <c r="F63" s="233"/>
      <c r="G63" s="233"/>
      <c r="H63" s="233"/>
      <c r="I63" s="233"/>
      <c r="J63" s="233"/>
      <c r="K63" s="233"/>
    </row>
  </sheetData>
  <conditionalFormatting sqref="D6:K6">
    <cfRule type="expression" dxfId="23" priority="13">
      <formula>AND(D$5="Actuals",E$5="Forecast")</formula>
    </cfRule>
  </conditionalFormatting>
  <conditionalFormatting sqref="D5:K5">
    <cfRule type="expression" dxfId="22"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N90"/>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95.453125" customWidth="1"/>
    <col min="3" max="3" width="14.08984375" customWidth="1"/>
    <col min="4" max="11" width="11.08984375" customWidth="1"/>
    <col min="12" max="12" width="5" customWidth="1"/>
  </cols>
  <sheetData>
    <row r="1" spans="1:13" s="31" customFormat="1" ht="21">
      <c r="A1" s="915" t="s">
        <v>261</v>
      </c>
      <c r="B1" s="911"/>
      <c r="C1" s="254"/>
      <c r="D1" s="254"/>
      <c r="E1" s="254"/>
      <c r="F1" s="254"/>
      <c r="G1" s="254"/>
      <c r="H1" s="254"/>
      <c r="I1" s="255"/>
      <c r="J1" s="255"/>
      <c r="K1" s="256"/>
      <c r="L1" s="257"/>
    </row>
    <row r="2" spans="1:13" s="31" customFormat="1" ht="21">
      <c r="A2" s="904" t="str">
        <f>'RFPR cover'!C5</f>
        <v>WPD-WMID</v>
      </c>
      <c r="B2" s="896"/>
      <c r="C2" s="29"/>
      <c r="D2" s="29"/>
      <c r="E2" s="29"/>
      <c r="F2" s="29"/>
      <c r="G2" s="29"/>
      <c r="H2" s="29"/>
      <c r="I2" s="27"/>
      <c r="J2" s="27"/>
      <c r="K2" s="27"/>
      <c r="L2" s="121"/>
    </row>
    <row r="3" spans="1:13" s="31" customFormat="1" ht="21">
      <c r="A3" s="907">
        <f>'RFPR cover'!C7</f>
        <v>2020</v>
      </c>
      <c r="B3" s="914"/>
      <c r="C3" s="258"/>
      <c r="D3" s="258"/>
      <c r="E3" s="258"/>
      <c r="F3" s="258"/>
      <c r="G3" s="258"/>
      <c r="H3" s="258"/>
      <c r="I3" s="253"/>
      <c r="J3" s="253"/>
      <c r="K3" s="253"/>
      <c r="L3" s="259"/>
    </row>
    <row r="4" spans="1:13" s="31" customFormat="1" ht="12.75" customHeight="1">
      <c r="A4" s="260"/>
      <c r="B4" s="261"/>
      <c r="C4" s="260"/>
      <c r="D4" s="260"/>
      <c r="E4" s="260"/>
      <c r="F4" s="260"/>
      <c r="G4" s="260"/>
      <c r="H4" s="260"/>
      <c r="I4" s="262"/>
      <c r="J4" s="262"/>
      <c r="K4" s="262"/>
      <c r="L4" s="263"/>
      <c r="M4" s="261"/>
    </row>
    <row r="5" spans="1:13" s="2" customFormat="1">
      <c r="B5" s="3"/>
      <c r="C5" s="3"/>
      <c r="D5" s="385" t="str">
        <f>IF(D6&lt;=('RFPR cover'!$C$7-1),"Actuals","Forecast")</f>
        <v>Actuals</v>
      </c>
      <c r="E5" s="385" t="str">
        <f>IF(E6&lt;=('RFPR cover'!$C$7-1),"Actuals","Forecast")</f>
        <v>Actuals</v>
      </c>
      <c r="F5" s="385" t="str">
        <f>IF(F6&lt;=('RFPR cover'!$C$7-1),"Actuals","Forecast")</f>
        <v>Actuals</v>
      </c>
      <c r="G5" s="385" t="str">
        <f>IF(G6&lt;=('RFPR cover'!$C$7-1),"Actuals","Forecast")</f>
        <v>Actuals</v>
      </c>
      <c r="H5" s="385" t="str">
        <f>IF(H6&lt;=('RFPR cover'!$C$7-1),"Actuals","Forecast")</f>
        <v>Forecast</v>
      </c>
      <c r="I5" s="385" t="str">
        <f>IF(I6&lt;=('RFPR cover'!$C$7-1),"Actuals","Forecast")</f>
        <v>Forecast</v>
      </c>
      <c r="J5" s="385" t="str">
        <f>IF(J6&lt;=('RFPR cover'!$C$7-1),"Actuals","Forecast")</f>
        <v>Forecast</v>
      </c>
      <c r="K5" s="385" t="str">
        <f>IF(K6&lt;=('RFPR cover'!$C$7-1),"Actuals","Forecast")</f>
        <v>Forecast</v>
      </c>
    </row>
    <row r="6" spans="1:13" s="2" customFormat="1">
      <c r="D6" s="115">
        <f>'RFPR cover'!$C$13</f>
        <v>2016</v>
      </c>
      <c r="E6" s="116">
        <f>D6+1</f>
        <v>2017</v>
      </c>
      <c r="F6" s="116">
        <f t="shared" ref="F6:K6" si="0">E6+1</f>
        <v>2018</v>
      </c>
      <c r="G6" s="116">
        <f t="shared" si="0"/>
        <v>2019</v>
      </c>
      <c r="H6" s="116">
        <f t="shared" si="0"/>
        <v>2020</v>
      </c>
      <c r="I6" s="116">
        <f t="shared" si="0"/>
        <v>2021</v>
      </c>
      <c r="J6" s="116">
        <f t="shared" si="0"/>
        <v>2022</v>
      </c>
      <c r="K6" s="193">
        <f t="shared" si="0"/>
        <v>2023</v>
      </c>
    </row>
    <row r="7" spans="1:13" s="35" customFormat="1">
      <c r="D7" s="425"/>
      <c r="E7" s="425"/>
      <c r="F7" s="425"/>
      <c r="G7" s="425"/>
      <c r="H7" s="425"/>
      <c r="I7" s="425"/>
      <c r="J7" s="425"/>
      <c r="K7" s="425"/>
    </row>
    <row r="8" spans="1:13" s="2" customFormat="1">
      <c r="B8" s="364" t="s">
        <v>365</v>
      </c>
      <c r="C8" s="290"/>
      <c r="D8" s="290"/>
      <c r="E8" s="290"/>
      <c r="F8" s="290"/>
      <c r="G8" s="290"/>
      <c r="H8" s="290"/>
      <c r="I8" s="290"/>
      <c r="J8" s="290"/>
      <c r="K8" s="290"/>
      <c r="L8" s="290"/>
    </row>
    <row r="9" spans="1:13" s="2" customFormat="1">
      <c r="B9" s="364" t="s">
        <v>470</v>
      </c>
      <c r="C9" s="290"/>
      <c r="D9" s="290"/>
      <c r="E9" s="290"/>
      <c r="F9" s="290"/>
      <c r="G9" s="290"/>
      <c r="H9" s="290"/>
      <c r="I9" s="290"/>
      <c r="J9" s="290"/>
      <c r="K9" s="290"/>
      <c r="L9" s="290"/>
    </row>
    <row r="10" spans="1:13" s="2" customFormat="1">
      <c r="B10" s="364" t="s">
        <v>366</v>
      </c>
      <c r="C10" s="290"/>
      <c r="D10" s="290"/>
      <c r="E10" s="290"/>
      <c r="F10" s="290"/>
      <c r="G10" s="290"/>
      <c r="H10" s="290"/>
      <c r="I10" s="290"/>
      <c r="J10" s="290"/>
      <c r="K10" s="290"/>
      <c r="L10" s="290"/>
    </row>
    <row r="11" spans="1:13" s="35" customFormat="1">
      <c r="B11" s="424"/>
    </row>
    <row r="12" spans="1:13">
      <c r="B12" s="197" t="s">
        <v>533</v>
      </c>
      <c r="C12" s="264" t="s">
        <v>128</v>
      </c>
      <c r="D12" s="634">
        <v>20.382599999999996</v>
      </c>
      <c r="E12" s="635">
        <v>18.507599999999986</v>
      </c>
      <c r="F12" s="635">
        <v>33.358870000000003</v>
      </c>
      <c r="G12" s="635">
        <v>28.459340000000012</v>
      </c>
      <c r="H12" s="635"/>
      <c r="I12" s="635"/>
      <c r="J12" s="635"/>
      <c r="K12" s="636"/>
    </row>
    <row r="13" spans="1:13">
      <c r="B13" s="14"/>
      <c r="C13" s="14"/>
      <c r="D13" s="734"/>
      <c r="E13" s="734"/>
      <c r="F13" s="734"/>
      <c r="G13" s="734"/>
      <c r="H13" s="734"/>
      <c r="I13" s="734"/>
      <c r="J13" s="734"/>
      <c r="K13" s="734"/>
    </row>
    <row r="14" spans="1:13">
      <c r="B14" s="14" t="s">
        <v>469</v>
      </c>
      <c r="C14" s="264"/>
      <c r="D14" s="734"/>
      <c r="E14" s="734"/>
      <c r="F14" s="734"/>
      <c r="G14" s="734"/>
      <c r="H14" s="734"/>
      <c r="I14" s="734"/>
      <c r="J14" s="734"/>
      <c r="K14" s="734"/>
    </row>
    <row r="15" spans="1:13">
      <c r="B15" s="365" t="s">
        <v>491</v>
      </c>
      <c r="C15" s="264" t="s">
        <v>128</v>
      </c>
      <c r="D15" s="590"/>
      <c r="E15" s="591"/>
      <c r="F15" s="591"/>
      <c r="G15" s="591"/>
      <c r="H15" s="591"/>
      <c r="I15" s="591"/>
      <c r="J15" s="591"/>
      <c r="K15" s="601"/>
    </row>
    <row r="16" spans="1:13">
      <c r="B16" s="426" t="s">
        <v>629</v>
      </c>
      <c r="C16" s="264" t="s">
        <v>128</v>
      </c>
      <c r="D16" s="590">
        <v>0.47107171797475511</v>
      </c>
      <c r="E16" s="590">
        <v>0.42644647084061005</v>
      </c>
      <c r="F16" s="590">
        <v>0.36018490717571361</v>
      </c>
      <c r="G16" s="590">
        <v>0.31336643103889777</v>
      </c>
      <c r="H16" s="591"/>
      <c r="I16" s="591"/>
      <c r="J16" s="591"/>
      <c r="K16" s="601"/>
    </row>
    <row r="17" spans="2:12">
      <c r="B17" s="426" t="s">
        <v>630</v>
      </c>
      <c r="C17" s="264" t="s">
        <v>128</v>
      </c>
      <c r="D17" s="590">
        <v>-0.59203293434939164</v>
      </c>
      <c r="E17" s="590">
        <v>-0.43571913127819129</v>
      </c>
      <c r="F17" s="590">
        <v>-0.33594945962880857</v>
      </c>
      <c r="G17" s="590">
        <v>9.0852848282815687E-2</v>
      </c>
      <c r="H17" s="591"/>
      <c r="I17" s="591"/>
      <c r="J17" s="591"/>
      <c r="K17" s="601"/>
    </row>
    <row r="18" spans="2:12">
      <c r="B18" s="426" t="s">
        <v>142</v>
      </c>
      <c r="C18" s="264" t="s">
        <v>128</v>
      </c>
      <c r="D18" s="590">
        <v>-7.8356904753335552E-2</v>
      </c>
      <c r="E18" s="590">
        <v>6.0115816285113421E-3</v>
      </c>
      <c r="F18" s="590">
        <v>-0.11713622391884432</v>
      </c>
      <c r="G18" s="590">
        <v>8.5148948233356586E-2</v>
      </c>
      <c r="H18" s="591"/>
      <c r="I18" s="591"/>
      <c r="J18" s="591"/>
      <c r="K18" s="601"/>
    </row>
    <row r="19" spans="2:12">
      <c r="B19" s="266" t="s">
        <v>367</v>
      </c>
      <c r="C19" s="264" t="s">
        <v>128</v>
      </c>
      <c r="D19" s="735">
        <f>SUM(D15:D18)</f>
        <v>-0.19931812112797209</v>
      </c>
      <c r="E19" s="736">
        <f t="shared" ref="E19:K19" si="1">SUM(E15:E18)</f>
        <v>-3.261078809069895E-3</v>
      </c>
      <c r="F19" s="736">
        <f t="shared" si="1"/>
        <v>-9.2900776371939275E-2</v>
      </c>
      <c r="G19" s="736">
        <f t="shared" si="1"/>
        <v>0.48936822755507003</v>
      </c>
      <c r="H19" s="736">
        <f t="shared" si="1"/>
        <v>0</v>
      </c>
      <c r="I19" s="736">
        <f t="shared" si="1"/>
        <v>0</v>
      </c>
      <c r="J19" s="736">
        <f t="shared" si="1"/>
        <v>0</v>
      </c>
      <c r="K19" s="737">
        <f t="shared" si="1"/>
        <v>0</v>
      </c>
    </row>
    <row r="20" spans="2:12" s="31" customFormat="1">
      <c r="B20" s="365"/>
      <c r="C20" s="365"/>
      <c r="D20" s="738"/>
      <c r="E20" s="738"/>
      <c r="F20" s="738"/>
      <c r="G20" s="738"/>
      <c r="H20" s="738"/>
      <c r="I20" s="738"/>
      <c r="J20" s="738"/>
      <c r="K20" s="738"/>
      <c r="L20" s="365"/>
    </row>
    <row r="21" spans="2:12">
      <c r="B21" s="14" t="s">
        <v>333</v>
      </c>
      <c r="C21" s="264"/>
      <c r="D21" s="739"/>
      <c r="E21" s="739"/>
      <c r="F21" s="739"/>
      <c r="G21" s="739"/>
      <c r="H21" s="739"/>
      <c r="I21" s="739"/>
      <c r="J21" s="739"/>
      <c r="K21" s="739"/>
      <c r="L21" s="264"/>
    </row>
    <row r="22" spans="2:12">
      <c r="B22" s="365" t="s">
        <v>492</v>
      </c>
      <c r="C22" s="264" t="s">
        <v>128</v>
      </c>
      <c r="D22" s="851">
        <f>('R5 - Output Incentives'!D102)*INDEX(Data!$G$14:$G$30,MATCH('R10 - Tax'!D$6,Data!$C$14:$C$30,0),1)</f>
        <v>7.0481023580610005</v>
      </c>
      <c r="E22" s="852">
        <f>('R5 - Output Incentives'!E102)*INDEX(Data!$G$14:$G$30,MATCH('R10 - Tax'!E$6,Data!$C$14:$C$30,0),1)</f>
        <v>7.7607323944354079</v>
      </c>
      <c r="F22" s="852">
        <f>('R5 - Output Incentives'!F102)*INDEX(Data!$G$14:$G$30,MATCH('R10 - Tax'!F$6,Data!$C$14:$C$30,0),1)</f>
        <v>5.4124905508682781</v>
      </c>
      <c r="G22" s="852">
        <f>('R5 - Output Incentives'!G102)*INDEX(Data!$G$14:$G$30,MATCH('R10 - Tax'!G$6,Data!$C$14:$C$30,0),1)</f>
        <v>5.4921083142709559</v>
      </c>
      <c r="H22" s="854">
        <f>('R5 - Output Incentives'!H102)*INDEX(Data!$G$14:$G$30,MATCH('R10 - Tax'!H$6,Data!$C$14:$C$30,0),1)</f>
        <v>5.8083678811712263</v>
      </c>
      <c r="I22" s="854">
        <f>('R5 - Output Incentives'!I102)*INDEX(Data!$G$14:$G$30,MATCH('R10 - Tax'!I$6,Data!$C$14:$C$30,0),1)</f>
        <v>5.9421762628410359</v>
      </c>
      <c r="J22" s="854">
        <f>('R5 - Output Incentives'!J102)*INDEX(Data!$G$14:$G$30,MATCH('R10 - Tax'!J$6,Data!$C$14:$C$30,0),1)</f>
        <v>6.0688528014202445</v>
      </c>
      <c r="K22" s="855">
        <f>('R5 - Output Incentives'!K102)*INDEX(Data!$G$14:$G$30,MATCH('R10 - Tax'!K$6,Data!$C$14:$C$30,0),1)</f>
        <v>6.118865021575159</v>
      </c>
    </row>
    <row r="23" spans="2:12">
      <c r="B23" s="365" t="s">
        <v>493</v>
      </c>
      <c r="C23" s="264" t="s">
        <v>128</v>
      </c>
      <c r="D23" s="594">
        <f>('R4 - Totex'!D77-'R4 - Totex'!D79)*D40</f>
        <v>1.3800873835563356</v>
      </c>
      <c r="E23" s="596">
        <f>('R4 - Totex'!E77-'R4 - Totex'!E79)*E40</f>
        <v>1.4115469936448415</v>
      </c>
      <c r="F23" s="596">
        <f>('R4 - Totex'!F77-'R4 - Totex'!F79)*F40</f>
        <v>1.3511492795807538</v>
      </c>
      <c r="G23" s="596">
        <f>('R4 - Totex'!G77-'R4 - Totex'!G79)*G40</f>
        <v>1.4169632694592209</v>
      </c>
      <c r="H23" s="856">
        <f>('R4 - Totex'!H77-'R4 - Totex'!H79)*H40</f>
        <v>1.4978790148287668</v>
      </c>
      <c r="I23" s="856">
        <f>('R4 - Totex'!I77-'R4 - Totex'!I79)*I40</f>
        <v>1.5509058956829276</v>
      </c>
      <c r="J23" s="856">
        <f>('R4 - Totex'!J77-'R4 - Totex'!J79)*J40</f>
        <v>1.5696356399438665</v>
      </c>
      <c r="K23" s="857">
        <f>('R4 - Totex'!K77-'R4 - Totex'!K79)*K40</f>
        <v>1.6265529723922967</v>
      </c>
    </row>
    <row r="24" spans="2:12">
      <c r="B24" s="365" t="s">
        <v>494</v>
      </c>
      <c r="C24" s="264" t="s">
        <v>128</v>
      </c>
      <c r="D24" s="592">
        <v>0.32146882236141161</v>
      </c>
      <c r="E24" s="592">
        <v>6.2741382475988416</v>
      </c>
      <c r="F24" s="592">
        <v>-0.17443181814604458</v>
      </c>
      <c r="G24" s="592">
        <v>8.6308928480806402E-2</v>
      </c>
      <c r="H24" s="593"/>
      <c r="I24" s="593"/>
      <c r="J24" s="593"/>
      <c r="K24" s="602"/>
    </row>
    <row r="25" spans="2:12">
      <c r="B25" s="365" t="s">
        <v>495</v>
      </c>
      <c r="C25" s="264" t="s">
        <v>128</v>
      </c>
      <c r="D25" s="592"/>
      <c r="E25" s="593"/>
      <c r="F25" s="593"/>
      <c r="G25" s="593"/>
      <c r="H25" s="593"/>
      <c r="I25" s="593"/>
      <c r="J25" s="593"/>
      <c r="K25" s="602"/>
    </row>
    <row r="26" spans="2:12">
      <c r="B26" s="365" t="s">
        <v>496</v>
      </c>
      <c r="C26" s="264" t="s">
        <v>128</v>
      </c>
      <c r="D26" s="592"/>
      <c r="E26" s="593"/>
      <c r="F26" s="593"/>
      <c r="G26" s="593"/>
      <c r="H26" s="593"/>
      <c r="I26" s="593"/>
      <c r="J26" s="593"/>
      <c r="K26" s="602"/>
    </row>
    <row r="27" spans="2:12">
      <c r="B27" s="365" t="s">
        <v>497</v>
      </c>
      <c r="C27" s="264" t="s">
        <v>128</v>
      </c>
      <c r="D27" s="592"/>
      <c r="E27" s="593"/>
      <c r="F27" s="593"/>
      <c r="G27" s="593"/>
      <c r="H27" s="593"/>
      <c r="I27" s="593"/>
      <c r="J27" s="593"/>
      <c r="K27" s="602"/>
    </row>
    <row r="28" spans="2:12">
      <c r="B28" s="365" t="s">
        <v>574</v>
      </c>
      <c r="C28" s="264" t="s">
        <v>128</v>
      </c>
      <c r="D28" s="592">
        <v>-6.4357424658972956E-2</v>
      </c>
      <c r="E28" s="592">
        <v>1.076631422416336</v>
      </c>
      <c r="F28" s="592">
        <v>-0.32242906444534486</v>
      </c>
      <c r="G28" s="592">
        <v>0.3044715421482449</v>
      </c>
      <c r="H28" s="593"/>
      <c r="I28" s="593"/>
      <c r="J28" s="593"/>
      <c r="K28" s="602"/>
    </row>
    <row r="29" spans="2:12">
      <c r="B29" s="426" t="s">
        <v>624</v>
      </c>
      <c r="C29" s="264" t="s">
        <v>128</v>
      </c>
      <c r="D29" s="592">
        <v>1.9073689576744561</v>
      </c>
      <c r="E29" s="592">
        <v>0.36411939335078158</v>
      </c>
      <c r="F29" s="592">
        <v>-2.0436530516942151</v>
      </c>
      <c r="G29" s="592">
        <v>-0.24645936050662748</v>
      </c>
      <c r="H29" s="593"/>
      <c r="I29" s="593"/>
      <c r="J29" s="593"/>
      <c r="K29" s="602"/>
    </row>
    <row r="30" spans="2:12">
      <c r="B30" s="426" t="s">
        <v>389</v>
      </c>
      <c r="C30" s="264" t="s">
        <v>128</v>
      </c>
      <c r="D30" s="592">
        <v>0.30232691298962688</v>
      </c>
      <c r="E30" s="592">
        <v>0.31442758776717106</v>
      </c>
      <c r="F30" s="592">
        <v>0.8330414664621697</v>
      </c>
      <c r="G30" s="592">
        <v>1.9527260304910974</v>
      </c>
      <c r="H30" s="593"/>
      <c r="I30" s="593"/>
      <c r="J30" s="593"/>
      <c r="K30" s="602"/>
    </row>
    <row r="31" spans="2:12">
      <c r="B31" s="426" t="s">
        <v>585</v>
      </c>
      <c r="C31" s="264" t="s">
        <v>128</v>
      </c>
      <c r="D31" s="592">
        <v>-2.5162061268745353</v>
      </c>
      <c r="E31" s="592">
        <v>-1.9070527922753542</v>
      </c>
      <c r="F31" s="592">
        <v>0</v>
      </c>
      <c r="G31" s="592">
        <v>0</v>
      </c>
      <c r="H31" s="593"/>
      <c r="I31" s="593"/>
      <c r="J31" s="593"/>
      <c r="K31" s="602"/>
    </row>
    <row r="32" spans="2:12">
      <c r="B32" s="426" t="s">
        <v>625</v>
      </c>
      <c r="C32" s="264" t="s">
        <v>128</v>
      </c>
      <c r="D32" s="592">
        <v>1.8751781150496638E-2</v>
      </c>
      <c r="E32" s="592">
        <v>2.1816765814390265E-2</v>
      </c>
      <c r="F32" s="592">
        <v>2.4753381023082471E-2</v>
      </c>
      <c r="G32" s="592">
        <v>2.9853008302977324E-2</v>
      </c>
      <c r="H32" s="593"/>
      <c r="I32" s="593"/>
      <c r="J32" s="593"/>
      <c r="K32" s="602"/>
    </row>
    <row r="33" spans="2:13">
      <c r="B33" s="426" t="s">
        <v>626</v>
      </c>
      <c r="C33" s="264" t="s">
        <v>128</v>
      </c>
      <c r="D33" s="603">
        <v>-1.7721797065579565</v>
      </c>
      <c r="E33" s="603">
        <v>-0.66437694507347911</v>
      </c>
      <c r="F33" s="603">
        <v>0.52689116069333242</v>
      </c>
      <c r="G33" s="603">
        <v>-0.36140137340154765</v>
      </c>
      <c r="H33" s="604"/>
      <c r="I33" s="604"/>
      <c r="J33" s="604"/>
      <c r="K33" s="605"/>
    </row>
    <row r="34" spans="2:13">
      <c r="B34" s="426" t="s">
        <v>627</v>
      </c>
      <c r="C34" s="264" t="s">
        <v>128</v>
      </c>
      <c r="D34" s="603">
        <v>0</v>
      </c>
      <c r="E34" s="603">
        <v>-2.0423501682617</v>
      </c>
      <c r="F34" s="603">
        <v>1.9845402092947539</v>
      </c>
      <c r="G34" s="603">
        <v>5.9331746501692872E-2</v>
      </c>
      <c r="H34" s="604"/>
      <c r="I34" s="604"/>
      <c r="J34" s="604"/>
      <c r="K34" s="605"/>
    </row>
    <row r="35" spans="2:13">
      <c r="B35" s="14" t="s">
        <v>177</v>
      </c>
      <c r="C35" s="264" t="s">
        <v>128</v>
      </c>
      <c r="D35" s="740">
        <f t="shared" ref="D35:K35" si="2">SUM(D22:D34)</f>
        <v>6.6253629577018653</v>
      </c>
      <c r="E35" s="741">
        <f t="shared" si="2"/>
        <v>12.609632899417234</v>
      </c>
      <c r="F35" s="741">
        <f t="shared" si="2"/>
        <v>7.5923521136367667</v>
      </c>
      <c r="G35" s="741">
        <f t="shared" si="2"/>
        <v>8.7339021057468216</v>
      </c>
      <c r="H35" s="741">
        <f t="shared" si="2"/>
        <v>7.3062468959999931</v>
      </c>
      <c r="I35" s="741">
        <f t="shared" si="2"/>
        <v>7.4930821585239631</v>
      </c>
      <c r="J35" s="741">
        <f t="shared" si="2"/>
        <v>7.6384884413641112</v>
      </c>
      <c r="K35" s="742">
        <f t="shared" si="2"/>
        <v>7.7454179939674557</v>
      </c>
    </row>
    <row r="37" spans="2:13" ht="12.75" customHeight="1">
      <c r="B37" s="818" t="s">
        <v>504</v>
      </c>
      <c r="C37" s="264" t="s">
        <v>128</v>
      </c>
      <c r="D37" s="634"/>
      <c r="E37" s="634"/>
      <c r="F37" s="635"/>
      <c r="G37" s="635"/>
      <c r="H37" s="960">
        <v>32.40827285361835</v>
      </c>
      <c r="I37" s="635">
        <v>30.579474630504635</v>
      </c>
      <c r="J37" s="960">
        <v>32.406239890608035</v>
      </c>
      <c r="K37" s="635">
        <v>31.417162474139793</v>
      </c>
    </row>
    <row r="38" spans="2:13" ht="12.75" customHeight="1">
      <c r="B38" s="818" t="s">
        <v>473</v>
      </c>
      <c r="C38" s="264" t="s">
        <v>128</v>
      </c>
      <c r="D38" s="740">
        <f t="shared" ref="D38:K38" si="3">D12+D37-D19-D35</f>
        <v>13.956555163426104</v>
      </c>
      <c r="E38" s="741">
        <f>E12+G37-E19-E35</f>
        <v>5.9012281793918238</v>
      </c>
      <c r="F38" s="741">
        <f>F12+F37-F19-F35</f>
        <v>25.859418662735177</v>
      </c>
      <c r="G38" s="741">
        <f>G12+G37-G19-G35</f>
        <v>19.236069666698121</v>
      </c>
      <c r="H38" s="741">
        <f t="shared" si="3"/>
        <v>25.102025957618356</v>
      </c>
      <c r="I38" s="741">
        <f t="shared" si="3"/>
        <v>23.086392471980673</v>
      </c>
      <c r="J38" s="741">
        <f t="shared" si="3"/>
        <v>24.767751449243924</v>
      </c>
      <c r="K38" s="742">
        <f t="shared" si="3"/>
        <v>23.671744480172336</v>
      </c>
    </row>
    <row r="39" spans="2:13" ht="12.75" customHeight="1">
      <c r="B39" s="477"/>
      <c r="C39" s="264"/>
      <c r="D39" s="264"/>
      <c r="E39" s="264"/>
      <c r="F39" s="264"/>
      <c r="G39" s="264"/>
      <c r="H39" s="264"/>
      <c r="I39" s="264"/>
      <c r="J39" s="264"/>
      <c r="K39" s="264"/>
    </row>
    <row r="40" spans="2:13">
      <c r="B40" s="37" t="s">
        <v>481</v>
      </c>
      <c r="C40" s="265" t="s">
        <v>127</v>
      </c>
      <c r="D40" s="110">
        <f>Data!C$34</f>
        <v>1.0603167467048125</v>
      </c>
      <c r="E40" s="110">
        <f>Data!D$34</f>
        <v>1.0830366813119445</v>
      </c>
      <c r="F40" s="110">
        <f>Data!E$34</f>
        <v>1.1235639113109226</v>
      </c>
      <c r="G40" s="110">
        <f>Data!F$34</f>
        <v>1.1578951670583426</v>
      </c>
      <c r="H40" s="110">
        <f>Data!G$34</f>
        <v>1.1878696229692449</v>
      </c>
      <c r="I40" s="110">
        <f>Data!H$34</f>
        <v>1.2080634065597218</v>
      </c>
      <c r="J40" s="110">
        <f>Data!I$34</f>
        <v>1.2337347539491161</v>
      </c>
      <c r="K40" s="110">
        <f>Data!J$34</f>
        <v>1.2655034238633056</v>
      </c>
      <c r="L40" s="264"/>
    </row>
    <row r="41" spans="2:13">
      <c r="B41" s="197"/>
      <c r="C41" s="264"/>
      <c r="D41" s="264"/>
      <c r="E41" s="264"/>
      <c r="F41" s="264"/>
      <c r="G41" s="264"/>
      <c r="H41" s="264"/>
      <c r="I41" s="264"/>
      <c r="J41" s="264"/>
      <c r="K41" s="264"/>
    </row>
    <row r="42" spans="2:13">
      <c r="B42" s="539" t="s">
        <v>474</v>
      </c>
      <c r="C42" s="392" t="str">
        <f>'RFPR cover'!$C$14</f>
        <v>£m 12/13</v>
      </c>
      <c r="D42" s="783">
        <f t="shared" ref="D42:K42" si="4">D38/D40</f>
        <v>13.162628249340994</v>
      </c>
      <c r="E42" s="784">
        <f t="shared" si="4"/>
        <v>5.4487796038850016</v>
      </c>
      <c r="F42" s="784">
        <f t="shared" si="4"/>
        <v>23.015529781980625</v>
      </c>
      <c r="G42" s="784">
        <f t="shared" si="4"/>
        <v>16.612963085050062</v>
      </c>
      <c r="H42" s="784">
        <f t="shared" si="4"/>
        <v>21.131970607070798</v>
      </c>
      <c r="I42" s="784">
        <f t="shared" si="4"/>
        <v>19.110248970892386</v>
      </c>
      <c r="J42" s="784">
        <f t="shared" si="4"/>
        <v>20.075426561474202</v>
      </c>
      <c r="K42" s="785">
        <f t="shared" si="4"/>
        <v>18.705397420346497</v>
      </c>
    </row>
    <row r="43" spans="2:13">
      <c r="B43" s="818"/>
      <c r="C43" s="818"/>
      <c r="D43" s="818"/>
      <c r="E43" s="818"/>
      <c r="F43" s="818"/>
      <c r="G43" s="818"/>
      <c r="H43" s="818"/>
      <c r="I43" s="818"/>
      <c r="J43" s="818"/>
      <c r="K43" s="818"/>
    </row>
    <row r="44" spans="2:13">
      <c r="B44" s="826" t="s">
        <v>454</v>
      </c>
      <c r="C44" s="208"/>
      <c r="D44" s="208"/>
      <c r="E44" s="208"/>
      <c r="F44" s="208"/>
      <c r="G44" s="208"/>
      <c r="H44" s="208"/>
      <c r="I44" s="208"/>
      <c r="J44" s="208"/>
      <c r="K44" s="208"/>
    </row>
    <row r="45" spans="2:13">
      <c r="B45" s="364" t="s">
        <v>442</v>
      </c>
      <c r="C45" s="427"/>
      <c r="D45" s="427"/>
      <c r="E45" s="427"/>
      <c r="F45" s="427"/>
      <c r="G45" s="427"/>
      <c r="H45" s="427"/>
      <c r="I45" s="427"/>
      <c r="J45" s="427"/>
      <c r="K45" s="427"/>
      <c r="L45" s="427"/>
      <c r="M45" s="427"/>
    </row>
    <row r="47" spans="2:13" ht="12.75" customHeight="1">
      <c r="B47" s="211" t="s">
        <v>115</v>
      </c>
      <c r="C47" s="153" t="s">
        <v>7</v>
      </c>
      <c r="D47" s="885">
        <f>'RFPR cover'!$C$12</f>
        <v>0.65</v>
      </c>
      <c r="E47" s="886">
        <f>'RFPR cover'!$C$12</f>
        <v>0.65</v>
      </c>
      <c r="F47" s="886">
        <f>'RFPR cover'!$C$12</f>
        <v>0.65</v>
      </c>
      <c r="G47" s="886">
        <f>'RFPR cover'!$C$12</f>
        <v>0.65</v>
      </c>
      <c r="H47" s="886">
        <f>'RFPR cover'!$C$12</f>
        <v>0.65</v>
      </c>
      <c r="I47" s="886">
        <f>'RFPR cover'!$C$12</f>
        <v>0.65</v>
      </c>
      <c r="J47" s="886">
        <f>'RFPR cover'!$C$12</f>
        <v>0.65</v>
      </c>
      <c r="K47" s="887">
        <f>'RFPR cover'!$C$12</f>
        <v>0.65</v>
      </c>
    </row>
    <row r="48" spans="2:13" ht="12.75" customHeight="1">
      <c r="B48" s="211" t="s">
        <v>404</v>
      </c>
      <c r="C48" s="153" t="s">
        <v>7</v>
      </c>
      <c r="D48" s="885">
        <f>'R8 - Net Debt'!D57</f>
        <v>0.63017300228227524</v>
      </c>
      <c r="E48" s="886">
        <f>'R8 - Net Debt'!E57</f>
        <v>0.63039005719049312</v>
      </c>
      <c r="F48" s="886">
        <f>'R8 - Net Debt'!F57</f>
        <v>0.63080325510938995</v>
      </c>
      <c r="G48" s="886">
        <f>'R8 - Net Debt'!G57</f>
        <v>0.61214994914892917</v>
      </c>
      <c r="H48" s="886">
        <f>'R8 - Net Debt'!H57</f>
        <v>0.60016668907173409</v>
      </c>
      <c r="I48" s="886">
        <f>'R8 - Net Debt'!I57</f>
        <v>0.61303936064862341</v>
      </c>
      <c r="J48" s="886">
        <f>'R8 - Net Debt'!J57</f>
        <v>0.63644457639975072</v>
      </c>
      <c r="K48" s="887">
        <f>'R8 - Net Debt'!K57</f>
        <v>0.65503741146706362</v>
      </c>
    </row>
    <row r="49" spans="2:14" ht="12.75" customHeight="1">
      <c r="B49" s="211"/>
      <c r="C49" s="153"/>
      <c r="D49" s="153"/>
      <c r="E49" s="153"/>
      <c r="F49" s="153"/>
      <c r="G49" s="153"/>
      <c r="H49" s="153"/>
      <c r="I49" s="153"/>
      <c r="J49" s="153"/>
      <c r="K49" s="153"/>
      <c r="L49" s="153"/>
    </row>
    <row r="50" spans="2:14" ht="12.75" customHeight="1">
      <c r="B50" s="818" t="s">
        <v>474</v>
      </c>
      <c r="C50" s="264" t="s">
        <v>128</v>
      </c>
      <c r="D50" s="783">
        <f>D38</f>
        <v>13.956555163426104</v>
      </c>
      <c r="E50" s="783">
        <f t="shared" ref="E50:K50" si="5">E38</f>
        <v>5.9012281793918238</v>
      </c>
      <c r="F50" s="783">
        <f t="shared" si="5"/>
        <v>25.859418662735177</v>
      </c>
      <c r="G50" s="783">
        <f t="shared" si="5"/>
        <v>19.236069666698121</v>
      </c>
      <c r="H50" s="783">
        <f t="shared" si="5"/>
        <v>25.102025957618356</v>
      </c>
      <c r="I50" s="783">
        <f t="shared" si="5"/>
        <v>23.086392471980673</v>
      </c>
      <c r="J50" s="783">
        <f t="shared" si="5"/>
        <v>24.767751449243924</v>
      </c>
      <c r="K50" s="783">
        <f t="shared" si="5"/>
        <v>23.671744480172336</v>
      </c>
    </row>
    <row r="51" spans="2:14">
      <c r="B51" s="211" t="s">
        <v>455</v>
      </c>
      <c r="C51" s="264" t="s">
        <v>128</v>
      </c>
      <c r="D51" s="783">
        <f>D86-D88</f>
        <v>-0.38911895719741008</v>
      </c>
      <c r="E51" s="783">
        <f t="shared" ref="E51:K51" si="6">E86-E88</f>
        <v>-0.28482170616042524</v>
      </c>
      <c r="F51" s="783">
        <f t="shared" si="6"/>
        <v>-0.13937107490797862</v>
      </c>
      <c r="G51" s="783">
        <f t="shared" si="6"/>
        <v>-0.39975748682815071</v>
      </c>
      <c r="H51" s="783">
        <f t="shared" si="6"/>
        <v>-0.63901016174034497</v>
      </c>
      <c r="I51" s="783">
        <f t="shared" si="6"/>
        <v>-0.64099253727600747</v>
      </c>
      <c r="J51" s="783">
        <f t="shared" si="6"/>
        <v>-0.19653685296603207</v>
      </c>
      <c r="K51" s="783">
        <f t="shared" si="6"/>
        <v>6.0417160191533981E-2</v>
      </c>
      <c r="L51" s="264"/>
    </row>
    <row r="52" spans="2:14" s="31" customFormat="1">
      <c r="B52" s="827" t="s">
        <v>412</v>
      </c>
      <c r="C52" s="264" t="s">
        <v>128</v>
      </c>
      <c r="D52" s="740">
        <f>SUM(D50:D51)</f>
        <v>13.567436206228695</v>
      </c>
      <c r="E52" s="741">
        <f t="shared" ref="E52:K52" si="7">SUM(E50:E51)</f>
        <v>5.6164064732313985</v>
      </c>
      <c r="F52" s="741">
        <f t="shared" si="7"/>
        <v>25.720047587827199</v>
      </c>
      <c r="G52" s="741">
        <f t="shared" si="7"/>
        <v>18.836312179869971</v>
      </c>
      <c r="H52" s="741">
        <f t="shared" si="7"/>
        <v>24.463015795878011</v>
      </c>
      <c r="I52" s="741">
        <f t="shared" si="7"/>
        <v>22.445399934704668</v>
      </c>
      <c r="J52" s="741">
        <f t="shared" si="7"/>
        <v>24.571214596277891</v>
      </c>
      <c r="K52" s="742">
        <f t="shared" si="7"/>
        <v>23.73216164036387</v>
      </c>
      <c r="L52" s="803"/>
    </row>
    <row r="54" spans="2:14">
      <c r="B54" s="827" t="s">
        <v>412</v>
      </c>
      <c r="C54" s="392" t="str">
        <f>'RFPR cover'!$C$14</f>
        <v>£m 12/13</v>
      </c>
      <c r="D54" s="740">
        <f>D52/D40</f>
        <v>12.795644554698153</v>
      </c>
      <c r="E54" s="741">
        <f t="shared" ref="E54:K54" si="8">E52/E40</f>
        <v>5.1857952460372099</v>
      </c>
      <c r="F54" s="741">
        <f t="shared" si="8"/>
        <v>22.891486037334747</v>
      </c>
      <c r="G54" s="741">
        <f t="shared" si="8"/>
        <v>16.267718111065292</v>
      </c>
      <c r="H54" s="741">
        <f t="shared" si="8"/>
        <v>20.594024228626463</v>
      </c>
      <c r="I54" s="741">
        <f t="shared" si="8"/>
        <v>18.579653859911083</v>
      </c>
      <c r="J54" s="741">
        <f t="shared" si="8"/>
        <v>19.916124205488096</v>
      </c>
      <c r="K54" s="742">
        <f t="shared" si="8"/>
        <v>18.753139021872229</v>
      </c>
    </row>
    <row r="55" spans="2:14">
      <c r="B55" s="827"/>
      <c r="C55" s="392"/>
      <c r="D55" s="392"/>
      <c r="E55" s="392"/>
      <c r="F55" s="392"/>
      <c r="G55" s="392"/>
      <c r="H55" s="392"/>
      <c r="I55" s="392"/>
      <c r="J55" s="392"/>
      <c r="K55" s="392"/>
    </row>
    <row r="57" spans="2:14">
      <c r="B57" s="786" t="s">
        <v>378</v>
      </c>
      <c r="C57" s="787"/>
      <c r="D57" s="787"/>
      <c r="E57" s="787"/>
      <c r="F57" s="787"/>
      <c r="G57" s="787"/>
      <c r="H57" s="787"/>
      <c r="I57" s="787"/>
      <c r="J57" s="787"/>
      <c r="K57" s="787"/>
      <c r="L57" s="787"/>
      <c r="M57" s="485"/>
    </row>
    <row r="58" spans="2:14" s="31" customFormat="1">
      <c r="B58" s="486"/>
      <c r="C58" s="485"/>
      <c r="D58" s="485"/>
      <c r="E58" s="485"/>
      <c r="F58" s="485"/>
      <c r="G58" s="485"/>
      <c r="H58" s="485"/>
      <c r="I58" s="485"/>
      <c r="J58" s="485"/>
      <c r="K58" s="485"/>
      <c r="L58" s="485"/>
      <c r="M58" s="485"/>
    </row>
    <row r="59" spans="2:14">
      <c r="B59" s="363" t="s">
        <v>475</v>
      </c>
      <c r="C59" s="290"/>
      <c r="D59" s="290"/>
      <c r="E59" s="290"/>
      <c r="F59" s="290"/>
      <c r="G59" s="290"/>
      <c r="H59" s="290"/>
      <c r="I59" s="290"/>
      <c r="J59" s="290"/>
      <c r="K59" s="290"/>
      <c r="L59" s="290"/>
      <c r="M59" s="198"/>
      <c r="N59" s="198"/>
    </row>
    <row r="60" spans="2:14" s="31" customFormat="1">
      <c r="B60" s="368"/>
      <c r="C60" s="35"/>
      <c r="D60" s="35"/>
      <c r="E60" s="35"/>
      <c r="F60" s="35"/>
      <c r="G60" s="35"/>
      <c r="H60" s="35"/>
      <c r="I60" s="35"/>
      <c r="J60" s="35"/>
      <c r="K60" s="35"/>
      <c r="L60" s="35"/>
      <c r="M60" s="37"/>
      <c r="N60" s="37"/>
    </row>
    <row r="61" spans="2:14">
      <c r="B61" s="198" t="s">
        <v>377</v>
      </c>
      <c r="C61" s="208" t="str">
        <f>'RFPR cover'!$C$14</f>
        <v>£m 12/13</v>
      </c>
      <c r="D61" s="578">
        <v>12.25790398904048</v>
      </c>
      <c r="E61" s="578">
        <v>10.87727615829113</v>
      </c>
      <c r="F61" s="578">
        <v>19.006103577926403</v>
      </c>
      <c r="G61" s="578">
        <v>16.63181075407358</v>
      </c>
      <c r="H61" s="578">
        <v>17.742501412772434</v>
      </c>
      <c r="I61" s="578">
        <v>16.583665755291591</v>
      </c>
      <c r="J61" s="578">
        <v>17.173364456098565</v>
      </c>
      <c r="K61" s="578">
        <v>17.203607409612012</v>
      </c>
    </row>
    <row r="62" spans="2:14">
      <c r="B62" s="198" t="s">
        <v>380</v>
      </c>
      <c r="C62" s="208" t="str">
        <f>'RFPR cover'!$C$14</f>
        <v>£m 12/13</v>
      </c>
      <c r="D62" s="586"/>
      <c r="E62" s="587"/>
      <c r="F62" s="587"/>
      <c r="G62" s="587"/>
      <c r="H62" s="587"/>
      <c r="I62" s="587"/>
      <c r="J62" s="587"/>
      <c r="K62" s="680"/>
    </row>
    <row r="63" spans="2:14">
      <c r="B63" s="198" t="s">
        <v>381</v>
      </c>
      <c r="C63" s="208" t="str">
        <f>'RFPR cover'!$C$14</f>
        <v>£m 12/13</v>
      </c>
      <c r="D63" s="642">
        <f t="shared" ref="D63:K63" si="9">SUM(D61:D62)</f>
        <v>12.25790398904048</v>
      </c>
      <c r="E63" s="643">
        <f t="shared" si="9"/>
        <v>10.87727615829113</v>
      </c>
      <c r="F63" s="643">
        <f t="shared" si="9"/>
        <v>19.006103577926403</v>
      </c>
      <c r="G63" s="643">
        <f t="shared" si="9"/>
        <v>16.63181075407358</v>
      </c>
      <c r="H63" s="643">
        <f t="shared" si="9"/>
        <v>17.742501412772434</v>
      </c>
      <c r="I63" s="643">
        <f t="shared" si="9"/>
        <v>16.583665755291591</v>
      </c>
      <c r="J63" s="643">
        <f t="shared" si="9"/>
        <v>17.173364456098565</v>
      </c>
      <c r="K63" s="644">
        <f t="shared" si="9"/>
        <v>17.203607409612012</v>
      </c>
    </row>
    <row r="64" spans="2:14">
      <c r="B64" s="198"/>
      <c r="C64" s="208"/>
      <c r="D64" s="208"/>
      <c r="E64" s="208"/>
      <c r="F64" s="208"/>
      <c r="G64" s="208"/>
      <c r="H64" s="208"/>
      <c r="I64" s="208"/>
      <c r="J64" s="208"/>
      <c r="K64" s="208"/>
      <c r="L64" s="208"/>
    </row>
    <row r="65" spans="2:13">
      <c r="B65" s="508" t="s">
        <v>476</v>
      </c>
      <c r="C65" s="290"/>
      <c r="D65" s="290"/>
      <c r="E65" s="290"/>
      <c r="F65" s="290"/>
      <c r="G65" s="290"/>
      <c r="H65" s="290"/>
      <c r="I65" s="290"/>
      <c r="J65" s="290"/>
      <c r="K65" s="290"/>
      <c r="L65" s="290"/>
    </row>
    <row r="66" spans="2:13" s="31" customFormat="1">
      <c r="B66" s="509"/>
      <c r="C66" s="35"/>
      <c r="D66" s="35"/>
      <c r="E66" s="35"/>
      <c r="F66" s="35"/>
      <c r="G66" s="35"/>
      <c r="H66" s="35"/>
      <c r="I66" s="35"/>
      <c r="J66" s="35"/>
      <c r="K66" s="35"/>
      <c r="L66" s="35"/>
    </row>
    <row r="67" spans="2:13">
      <c r="B67" s="198" t="s">
        <v>368</v>
      </c>
      <c r="C67" s="208" t="str">
        <f>'RFPR cover'!$C$14</f>
        <v>£m 12/13</v>
      </c>
      <c r="D67" s="578">
        <v>12.25790398904048</v>
      </c>
      <c r="E67" s="578">
        <v>10.663836532511056</v>
      </c>
      <c r="F67" s="578">
        <v>19.21351332995847</v>
      </c>
      <c r="G67" s="578">
        <v>16.624099786647292</v>
      </c>
      <c r="H67" s="958">
        <v>17.359925433570762</v>
      </c>
      <c r="I67" s="958">
        <v>17.297913518038143</v>
      </c>
      <c r="J67" s="958">
        <v>16.604597184379422</v>
      </c>
      <c r="K67" s="958">
        <v>15.986383061675328</v>
      </c>
    </row>
    <row r="68" spans="2:13">
      <c r="B68" s="198" t="s">
        <v>383</v>
      </c>
      <c r="C68" s="208" t="str">
        <f>'RFPR cover'!$C$14</f>
        <v>£m 12/13</v>
      </c>
      <c r="D68" s="586"/>
      <c r="E68" s="587"/>
      <c r="F68" s="587"/>
      <c r="G68" s="587"/>
      <c r="H68" s="587"/>
      <c r="I68" s="587"/>
      <c r="J68" s="587"/>
      <c r="K68" s="680"/>
    </row>
    <row r="69" spans="2:13">
      <c r="B69" s="14" t="s">
        <v>384</v>
      </c>
      <c r="C69" s="208" t="str">
        <f>'RFPR cover'!$C$14</f>
        <v>£m 12/13</v>
      </c>
      <c r="D69" s="606">
        <f t="shared" ref="D69:K69" si="10">SUM(D67:D68)</f>
        <v>12.25790398904048</v>
      </c>
      <c r="E69" s="607">
        <f t="shared" si="10"/>
        <v>10.663836532511056</v>
      </c>
      <c r="F69" s="607">
        <f t="shared" si="10"/>
        <v>19.21351332995847</v>
      </c>
      <c r="G69" s="607">
        <f t="shared" si="10"/>
        <v>16.624099786647292</v>
      </c>
      <c r="H69" s="607">
        <f t="shared" si="10"/>
        <v>17.359925433570762</v>
      </c>
      <c r="I69" s="607">
        <f t="shared" si="10"/>
        <v>17.297913518038143</v>
      </c>
      <c r="J69" s="607">
        <f t="shared" si="10"/>
        <v>16.604597184379422</v>
      </c>
      <c r="K69" s="608">
        <f t="shared" si="10"/>
        <v>15.986383061675328</v>
      </c>
    </row>
    <row r="70" spans="2:13" s="31" customFormat="1">
      <c r="B70" s="509"/>
      <c r="C70" s="35"/>
      <c r="D70" s="743"/>
      <c r="E70" s="743"/>
      <c r="F70" s="743"/>
      <c r="G70" s="743"/>
      <c r="H70" s="743"/>
      <c r="I70" s="743"/>
      <c r="J70" s="743"/>
      <c r="K70" s="743"/>
      <c r="L70" s="35"/>
    </row>
    <row r="71" spans="2:13" s="31" customFormat="1">
      <c r="B71" s="510" t="s">
        <v>382</v>
      </c>
      <c r="C71" s="35"/>
      <c r="D71" s="698">
        <f t="shared" ref="D71:K71" si="11">D69-D63</f>
        <v>0</v>
      </c>
      <c r="E71" s="699">
        <f t="shared" si="11"/>
        <v>-0.21343962578007414</v>
      </c>
      <c r="F71" s="699">
        <f t="shared" si="11"/>
        <v>0.20740975203206702</v>
      </c>
      <c r="G71" s="699">
        <f t="shared" si="11"/>
        <v>-7.7109674262878514E-3</v>
      </c>
      <c r="H71" s="699">
        <f t="shared" si="11"/>
        <v>-0.38257597920167186</v>
      </c>
      <c r="I71" s="699">
        <f t="shared" si="11"/>
        <v>0.71424776274655244</v>
      </c>
      <c r="J71" s="699">
        <f t="shared" si="11"/>
        <v>-0.56876727171914254</v>
      </c>
      <c r="K71" s="700">
        <f t="shared" si="11"/>
        <v>-1.2172243479366838</v>
      </c>
      <c r="L71" s="35"/>
    </row>
    <row r="72" spans="2:13">
      <c r="B72" s="198" t="s">
        <v>379</v>
      </c>
      <c r="C72" s="208" t="str">
        <f>'RFPR cover'!$C$14</f>
        <v>£m 12/13</v>
      </c>
      <c r="D72" s="582">
        <v>0</v>
      </c>
      <c r="E72" s="582">
        <v>0</v>
      </c>
      <c r="F72" s="582">
        <v>-1.1732150772588958</v>
      </c>
      <c r="G72" s="582">
        <v>-0.96735202950732213</v>
      </c>
      <c r="H72" s="582">
        <v>-0.93232799341700412</v>
      </c>
      <c r="I72" s="582">
        <v>-0.93476323071331513</v>
      </c>
      <c r="J72" s="582">
        <v>-1.0876066237881534</v>
      </c>
      <c r="K72" s="582">
        <v>-1.0864573660035943</v>
      </c>
    </row>
    <row r="73" spans="2:13">
      <c r="B73" s="198" t="s">
        <v>430</v>
      </c>
      <c r="C73" s="208" t="str">
        <f>'RFPR cover'!$C$14</f>
        <v>£m 12/13</v>
      </c>
      <c r="D73" s="582">
        <v>0</v>
      </c>
      <c r="E73" s="582">
        <v>0</v>
      </c>
      <c r="F73" s="582">
        <v>1.1732150772588958</v>
      </c>
      <c r="G73" s="582">
        <v>0.96735202950732213</v>
      </c>
      <c r="H73" s="582">
        <v>-1.3245490110383409</v>
      </c>
      <c r="I73" s="582">
        <v>-1.3376311291178589</v>
      </c>
      <c r="J73" s="582">
        <v>-1.3509318147722791</v>
      </c>
      <c r="K73" s="582">
        <v>-1.3643727238068724</v>
      </c>
    </row>
    <row r="74" spans="2:13">
      <c r="B74" s="198" t="s">
        <v>333</v>
      </c>
      <c r="C74" s="208" t="str">
        <f>'RFPR cover'!$C$14</f>
        <v>£m 12/13</v>
      </c>
      <c r="D74" s="744">
        <f>D71-D72-D73</f>
        <v>0</v>
      </c>
      <c r="E74" s="744">
        <f t="shared" ref="E74:K74" si="12">E71-E72-E73</f>
        <v>-0.21343962578007414</v>
      </c>
      <c r="F74" s="744">
        <f t="shared" si="12"/>
        <v>0.20740975203206702</v>
      </c>
      <c r="G74" s="744">
        <f t="shared" si="12"/>
        <v>-7.7109674262878514E-3</v>
      </c>
      <c r="H74" s="959">
        <f t="shared" si="12"/>
        <v>1.8743010252536731</v>
      </c>
      <c r="I74" s="959">
        <f t="shared" si="12"/>
        <v>2.9866421225777264</v>
      </c>
      <c r="J74" s="959">
        <f t="shared" si="12"/>
        <v>1.86977116684129</v>
      </c>
      <c r="K74" s="959">
        <f t="shared" si="12"/>
        <v>1.2336057418737829</v>
      </c>
    </row>
    <row r="75" spans="2:13">
      <c r="B75" s="198" t="s">
        <v>122</v>
      </c>
      <c r="C75" s="208" t="str">
        <f>'RFPR cover'!$C$14</f>
        <v>£m 12/13</v>
      </c>
      <c r="D75" s="511" t="str">
        <f>IF(ABS(D71-SUM(D72:D74))&lt;'RFPR cover'!$F$14,"OK","ERROR")</f>
        <v>OK</v>
      </c>
      <c r="E75" s="512" t="str">
        <f>IF(ABS(E71-SUM(E72:E74))&lt;'RFPR cover'!$F$14,"OK","ERROR")</f>
        <v>OK</v>
      </c>
      <c r="F75" s="512" t="str">
        <f>IF(ABS(F71-SUM(F72:F74))&lt;'RFPR cover'!$F$14,"OK","ERROR")</f>
        <v>OK</v>
      </c>
      <c r="G75" s="512" t="str">
        <f>IF(ABS(G71-SUM(G72:G74))&lt;'RFPR cover'!$F$14,"OK","ERROR")</f>
        <v>OK</v>
      </c>
      <c r="H75" s="512" t="str">
        <f>IF(ABS(H71-SUM(H72:H74))&lt;'RFPR cover'!$F$14,"OK","ERROR")</f>
        <v>OK</v>
      </c>
      <c r="I75" s="512" t="str">
        <f>IF(ABS(I71-SUM(I72:I74))&lt;'RFPR cover'!$F$14,"OK","ERROR")</f>
        <v>OK</v>
      </c>
      <c r="J75" s="512" t="str">
        <f>IF(ABS(J71-SUM(J72:J74))&lt;'RFPR cover'!$F$14,"OK","ERROR")</f>
        <v>OK</v>
      </c>
      <c r="K75" s="513" t="str">
        <f>IF(ABS(K71-SUM(K72:K74))&lt;'RFPR cover'!$F$14,"OK","ERROR")</f>
        <v>OK</v>
      </c>
    </row>
    <row r="76" spans="2:13">
      <c r="B76" s="198"/>
      <c r="C76" s="198"/>
      <c r="D76" s="198"/>
      <c r="E76" s="198"/>
      <c r="F76" s="198"/>
      <c r="G76" s="198"/>
      <c r="H76" s="198"/>
      <c r="I76" s="198"/>
      <c r="J76" s="198"/>
      <c r="K76" s="198"/>
      <c r="L76" s="198"/>
      <c r="M76" s="198"/>
    </row>
    <row r="78" spans="2:13">
      <c r="B78" s="831" t="s">
        <v>432</v>
      </c>
      <c r="C78" s="831"/>
      <c r="D78" s="831"/>
      <c r="E78" s="831"/>
      <c r="F78" s="831"/>
      <c r="G78" s="831"/>
      <c r="H78" s="831"/>
      <c r="I78" s="831"/>
      <c r="J78" s="831"/>
      <c r="K78" s="831"/>
      <c r="L78" s="831"/>
    </row>
    <row r="80" spans="2:13">
      <c r="B80" s="14" t="s">
        <v>433</v>
      </c>
      <c r="C80" s="209" t="str">
        <f>'RFPR cover'!$C$14</f>
        <v>£m 12/13</v>
      </c>
      <c r="D80" s="606">
        <f t="shared" ref="D80:K80" si="13">D$69-D42</f>
        <v>-0.90472426030051345</v>
      </c>
      <c r="E80" s="607">
        <f t="shared" si="13"/>
        <v>5.215056928626054</v>
      </c>
      <c r="F80" s="607">
        <f t="shared" si="13"/>
        <v>-3.8020164520221549</v>
      </c>
      <c r="G80" s="607">
        <f t="shared" si="13"/>
        <v>1.1136701597230569E-2</v>
      </c>
      <c r="H80" s="607">
        <f t="shared" si="13"/>
        <v>-3.772045173500036</v>
      </c>
      <c r="I80" s="607">
        <f t="shared" si="13"/>
        <v>-1.8123354528542421</v>
      </c>
      <c r="J80" s="607">
        <f t="shared" si="13"/>
        <v>-3.4708293770947805</v>
      </c>
      <c r="K80" s="608">
        <f t="shared" si="13"/>
        <v>-2.7190143586711688</v>
      </c>
    </row>
    <row r="81" spans="2:11">
      <c r="B81" s="14"/>
      <c r="C81" s="14"/>
      <c r="D81" s="14"/>
      <c r="E81" s="14"/>
      <c r="F81" s="14"/>
      <c r="G81" s="14"/>
      <c r="H81" s="14"/>
      <c r="I81" s="14"/>
      <c r="J81" s="14"/>
      <c r="K81" s="14"/>
    </row>
    <row r="82" spans="2:11">
      <c r="B82" s="14" t="s">
        <v>444</v>
      </c>
      <c r="C82" s="209" t="str">
        <f>'RFPR cover'!$C$14</f>
        <v>£m 12/13</v>
      </c>
      <c r="D82" s="606">
        <f t="shared" ref="D82:K82" si="14">D$69-D54</f>
        <v>-0.53774056565767303</v>
      </c>
      <c r="E82" s="607">
        <f t="shared" si="14"/>
        <v>5.4780412864738457</v>
      </c>
      <c r="F82" s="607">
        <f t="shared" si="14"/>
        <v>-3.6779727073762771</v>
      </c>
      <c r="G82" s="607">
        <f t="shared" si="14"/>
        <v>0.35638167558199996</v>
      </c>
      <c r="H82" s="607">
        <f t="shared" si="14"/>
        <v>-3.2340987950557007</v>
      </c>
      <c r="I82" s="607">
        <f t="shared" si="14"/>
        <v>-1.2817403418729398</v>
      </c>
      <c r="J82" s="607">
        <f t="shared" si="14"/>
        <v>-3.3115270211086738</v>
      </c>
      <c r="K82" s="608">
        <f t="shared" si="14"/>
        <v>-2.7667559601969014</v>
      </c>
    </row>
    <row r="84" spans="2:11">
      <c r="B84" s="14" t="s">
        <v>443</v>
      </c>
      <c r="C84" s="209" t="str">
        <f>'RFPR cover'!$C$14</f>
        <v>£m 12/13</v>
      </c>
      <c r="D84" s="606">
        <f>D80-D82</f>
        <v>-0.36698369464284042</v>
      </c>
      <c r="E84" s="607">
        <f t="shared" ref="E84:K84" si="15">E80-E82</f>
        <v>-0.26298435784779173</v>
      </c>
      <c r="F84" s="607">
        <f t="shared" si="15"/>
        <v>-0.12404374464587775</v>
      </c>
      <c r="G84" s="607">
        <f t="shared" si="15"/>
        <v>-0.34524497398476939</v>
      </c>
      <c r="H84" s="607">
        <f t="shared" si="15"/>
        <v>-0.53794637844433524</v>
      </c>
      <c r="I84" s="607">
        <f t="shared" si="15"/>
        <v>-0.5305951109813023</v>
      </c>
      <c r="J84" s="607">
        <f t="shared" si="15"/>
        <v>-0.15930235598610665</v>
      </c>
      <c r="K84" s="608">
        <f t="shared" si="15"/>
        <v>4.7741601525732591E-2</v>
      </c>
    </row>
    <row r="86" spans="2:11">
      <c r="B86" t="s">
        <v>527</v>
      </c>
      <c r="C86" s="264" t="s">
        <v>128</v>
      </c>
      <c r="D86" s="582">
        <f>-'R7 - Financing'!D86*Data!$G$20*D$40</f>
        <v>5.5195758962403252</v>
      </c>
      <c r="E86" s="582">
        <f>-'R7 - Financing'!E86*Data!$G$21*E$40</f>
        <v>2.4821152036635148</v>
      </c>
      <c r="F86" s="582">
        <f>-'R7 - Financing'!F86*Data!$G$22*F$40</f>
        <v>-1.6578252733310621</v>
      </c>
      <c r="G86" s="582">
        <f>-'R7 - Financing'!G86*Data!$G$23*G$40</f>
        <v>0.87207328725271316</v>
      </c>
      <c r="H86" s="582">
        <f>-'R7 - Financing'!H86*Data!$G$24*H$40</f>
        <v>2.8976584115908079</v>
      </c>
      <c r="I86" s="582">
        <f>-'R7 - Financing'!I86*Data!$G$25*I$40</f>
        <v>7.2208710413770012</v>
      </c>
      <c r="J86" s="582">
        <f>-'R7 - Financing'!J86*Data!$G$26*J$40</f>
        <v>6.7181164007846013</v>
      </c>
      <c r="K86" s="582">
        <f>-'R7 - Financing'!K86*Data!$G$27*K$40</f>
        <v>6.27804630419595</v>
      </c>
    </row>
    <row r="87" spans="2:11">
      <c r="B87" t="s">
        <v>527</v>
      </c>
      <c r="C87" s="392" t="str">
        <f>'RFPR cover'!$C$14</f>
        <v>£m 12/13</v>
      </c>
      <c r="D87" s="783">
        <f>D86/D$40</f>
        <v>5.2055915493117748</v>
      </c>
      <c r="E87" s="783">
        <f t="shared" ref="E87:K87" si="16">E86/E$40</f>
        <v>2.2918108375210209</v>
      </c>
      <c r="F87" s="783">
        <f t="shared" si="16"/>
        <v>-1.4755059829189316</v>
      </c>
      <c r="G87" s="783">
        <f t="shared" si="16"/>
        <v>0.75315392279271187</v>
      </c>
      <c r="H87" s="783">
        <f t="shared" si="16"/>
        <v>2.4393741161152929</v>
      </c>
      <c r="I87" s="783">
        <f t="shared" si="16"/>
        <v>5.9772285148014959</v>
      </c>
      <c r="J87" s="783">
        <f t="shared" si="16"/>
        <v>5.4453490746534339</v>
      </c>
      <c r="K87" s="783">
        <f t="shared" si="16"/>
        <v>4.9609081933816075</v>
      </c>
    </row>
    <row r="88" spans="2:11">
      <c r="B88" t="s">
        <v>528</v>
      </c>
      <c r="C88" s="264" t="s">
        <v>128</v>
      </c>
      <c r="D88" s="582">
        <f>-'R7 - Financing'!D88*Data!$G$20*D$40</f>
        <v>5.9086948534377353</v>
      </c>
      <c r="E88" s="582">
        <f>-'R7 - Financing'!E88*Data!$G$21*E$40</f>
        <v>2.76693690982394</v>
      </c>
      <c r="F88" s="582">
        <f>-'R7 - Financing'!F88*Data!$G$22*F$40</f>
        <v>-1.5184541984230835</v>
      </c>
      <c r="G88" s="582">
        <f>-'R7 - Financing'!G88*Data!$G$23*G$40</f>
        <v>1.2718307740808639</v>
      </c>
      <c r="H88" s="582">
        <f>-'R7 - Financing'!H88*Data!$G$24*H$40</f>
        <v>3.5366685733311529</v>
      </c>
      <c r="I88" s="582">
        <f>-'R7 - Financing'!I88*Data!$G$25*I$40</f>
        <v>7.8618635786530087</v>
      </c>
      <c r="J88" s="582">
        <f>-'R7 - Financing'!J88*Data!$G$26*J$40</f>
        <v>6.9146532537506333</v>
      </c>
      <c r="K88" s="582">
        <f>-'R7 - Financing'!K88*Data!$G$27*K$40</f>
        <v>6.217629144004416</v>
      </c>
    </row>
    <row r="89" spans="2:11">
      <c r="B89" t="s">
        <v>528</v>
      </c>
      <c r="C89" s="392" t="str">
        <f>'RFPR cover'!$C$14</f>
        <v>£m 12/13</v>
      </c>
      <c r="D89" s="783">
        <f t="shared" ref="D89:K89" si="17">D88/D$40</f>
        <v>5.5725752439546161</v>
      </c>
      <c r="E89" s="783">
        <f t="shared" si="17"/>
        <v>2.5547951953688131</v>
      </c>
      <c r="F89" s="783">
        <f t="shared" si="17"/>
        <v>-1.3514622382730512</v>
      </c>
      <c r="G89" s="783">
        <f t="shared" si="17"/>
        <v>1.0983988967774838</v>
      </c>
      <c r="H89" s="783">
        <f t="shared" si="17"/>
        <v>2.9773204945596294</v>
      </c>
      <c r="I89" s="783">
        <f t="shared" si="17"/>
        <v>6.507823625782799</v>
      </c>
      <c r="J89" s="783">
        <f t="shared" si="17"/>
        <v>5.6046514306395387</v>
      </c>
      <c r="K89" s="783">
        <f t="shared" si="17"/>
        <v>4.9131665918558731</v>
      </c>
    </row>
    <row r="90" spans="2:11">
      <c r="B90" t="s">
        <v>531</v>
      </c>
      <c r="C90" s="392" t="str">
        <f>'RFPR cover'!$C$14</f>
        <v>£m 12/13</v>
      </c>
      <c r="D90" s="783">
        <f>D87-D89</f>
        <v>-0.36698369464284131</v>
      </c>
      <c r="E90" s="783">
        <f t="shared" ref="E90:K90" si="18">E87-E89</f>
        <v>-0.26298435784779217</v>
      </c>
      <c r="F90" s="783">
        <f t="shared" si="18"/>
        <v>-0.12404374464588042</v>
      </c>
      <c r="G90" s="783">
        <f t="shared" si="18"/>
        <v>-0.34524497398477194</v>
      </c>
      <c r="H90" s="783">
        <f t="shared" si="18"/>
        <v>-0.53794637844433657</v>
      </c>
      <c r="I90" s="783">
        <f t="shared" si="18"/>
        <v>-0.53059511098130319</v>
      </c>
      <c r="J90" s="783">
        <f t="shared" si="18"/>
        <v>-0.15930235598610487</v>
      </c>
      <c r="K90" s="783">
        <f t="shared" si="18"/>
        <v>4.7741601525734367E-2</v>
      </c>
    </row>
  </sheetData>
  <conditionalFormatting sqref="D6:K7">
    <cfRule type="expression" dxfId="21" priority="69">
      <formula>AND(D$6="Actuals",E$6="Forecast")</formula>
    </cfRule>
  </conditionalFormatting>
  <conditionalFormatting sqref="D5:K5">
    <cfRule type="expression" dxfId="20" priority="44">
      <formula>AND(D$5="Actuals",E$5="Forecast")</formula>
    </cfRule>
  </conditionalFormatting>
  <conditionalFormatting sqref="D37:F37 H37:K37">
    <cfRule type="expression" dxfId="19" priority="12">
      <formula>AND(D$5="Actuals",E$5="Actuals")</formula>
    </cfRule>
  </conditionalFormatting>
  <conditionalFormatting sqref="D12:K12 D15:K19 D24:K34">
    <cfRule type="expression" dxfId="18" priority="11">
      <formula>NOT(AND(D$5="Actuals"))</formula>
    </cfRule>
  </conditionalFormatting>
  <conditionalFormatting sqref="G37">
    <cfRule type="expression" dxfId="17" priority="177">
      <formula>AND(E$5="Actuals",F$5="Actuals")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83.08984375" bestFit="1" customWidth="1"/>
    <col min="3" max="3" width="14.08984375" customWidth="1"/>
    <col min="4" max="11" width="11.08984375" customWidth="1"/>
    <col min="12" max="12" width="5" customWidth="1"/>
    <col min="17" max="17" width="13.08984375" customWidth="1"/>
  </cols>
  <sheetData>
    <row r="1" spans="1:18" s="31" customFormat="1" ht="21">
      <c r="A1" s="919" t="s">
        <v>260</v>
      </c>
      <c r="B1" s="930"/>
      <c r="C1" s="118"/>
      <c r="D1" s="118"/>
      <c r="E1" s="118"/>
      <c r="F1" s="118"/>
      <c r="G1" s="118"/>
      <c r="H1" s="118"/>
      <c r="I1" s="124"/>
      <c r="J1" s="124"/>
      <c r="K1" s="125"/>
      <c r="L1" s="126"/>
    </row>
    <row r="2" spans="1:18" s="31" customFormat="1" ht="21">
      <c r="A2" s="904" t="str">
        <f>'RFPR cover'!C5</f>
        <v>WPD-WMID</v>
      </c>
      <c r="B2" s="896"/>
      <c r="C2" s="29"/>
      <c r="D2" s="29"/>
      <c r="E2" s="29"/>
      <c r="F2" s="29"/>
      <c r="G2" s="29"/>
      <c r="H2" s="29"/>
      <c r="I2" s="27"/>
      <c r="J2" s="27"/>
      <c r="K2" s="27"/>
      <c r="L2" s="121"/>
    </row>
    <row r="3" spans="1:18" s="31" customFormat="1" ht="22.8">
      <c r="A3" s="921">
        <f>'RFPR cover'!C7</f>
        <v>2020</v>
      </c>
      <c r="B3" s="913" t="str">
        <f>'R1 - RoRE'!B3</f>
        <v/>
      </c>
      <c r="C3" s="122"/>
      <c r="D3" s="122"/>
      <c r="E3" s="122"/>
      <c r="F3" s="122"/>
      <c r="G3" s="122"/>
      <c r="H3" s="122"/>
      <c r="I3" s="28"/>
      <c r="J3" s="28"/>
      <c r="K3" s="28"/>
      <c r="L3" s="123"/>
    </row>
    <row r="4" spans="1:18" s="2" customFormat="1" ht="12.75" customHeight="1"/>
    <row r="5" spans="1:18" s="2" customFormat="1">
      <c r="B5" s="3"/>
      <c r="C5" s="3"/>
      <c r="D5" s="385" t="str">
        <f>IF(D6&lt;='RFPR cover'!$C$7,"Actuals","N/A")</f>
        <v>Actuals</v>
      </c>
      <c r="E5" s="386" t="str">
        <f>IF(E6&lt;='RFPR cover'!$C$7,"Actuals","N/A")</f>
        <v>Actuals</v>
      </c>
      <c r="F5" s="386" t="str">
        <f>IF(F6&lt;='RFPR cover'!$C$7,"Actuals","N/A")</f>
        <v>Actuals</v>
      </c>
      <c r="G5" s="386" t="str">
        <f>IF(G6&lt;='RFPR cover'!$C$7,"Actuals","N/A")</f>
        <v>Actuals</v>
      </c>
      <c r="H5" s="386" t="str">
        <f>IF(H6&lt;='RFPR cover'!$C$7,"Actuals","N/A")</f>
        <v>Actuals</v>
      </c>
      <c r="I5" s="386" t="str">
        <f>IF(I6&lt;='RFPR cover'!$C$7,"Actuals","N/A")</f>
        <v>N/A</v>
      </c>
      <c r="J5" s="386" t="str">
        <f>IF(J6&lt;='RFPR cover'!$C$7,"Actuals","N/A")</f>
        <v>N/A</v>
      </c>
      <c r="K5" s="387" t="str">
        <f>IF(K6&lt;='RFPR cover'!$C$7,"Actuals","N/A")</f>
        <v>N/A</v>
      </c>
    </row>
    <row r="6" spans="1:18" s="2" customFormat="1">
      <c r="D6" s="115">
        <f>'RFPR cover'!$C$13</f>
        <v>2016</v>
      </c>
      <c r="E6" s="116">
        <f>D6+1</f>
        <v>2017</v>
      </c>
      <c r="F6" s="116">
        <f t="shared" ref="F6:K6" si="0">E6+1</f>
        <v>2018</v>
      </c>
      <c r="G6" s="116">
        <f t="shared" si="0"/>
        <v>2019</v>
      </c>
      <c r="H6" s="116">
        <f t="shared" si="0"/>
        <v>2020</v>
      </c>
      <c r="I6" s="116">
        <f t="shared" si="0"/>
        <v>2021</v>
      </c>
      <c r="J6" s="116">
        <f t="shared" si="0"/>
        <v>2022</v>
      </c>
      <c r="K6" s="193">
        <f t="shared" si="0"/>
        <v>2023</v>
      </c>
    </row>
    <row r="7" spans="1:18" s="2" customFormat="1"/>
    <row r="8" spans="1:18">
      <c r="B8" s="14" t="s">
        <v>230</v>
      </c>
      <c r="C8" s="150" t="s">
        <v>128</v>
      </c>
      <c r="D8" s="634">
        <v>0</v>
      </c>
      <c r="E8" s="635">
        <v>90.78</v>
      </c>
      <c r="F8" s="635">
        <v>165</v>
      </c>
      <c r="G8" s="635">
        <v>10</v>
      </c>
      <c r="H8" s="635">
        <v>90</v>
      </c>
      <c r="I8" s="635"/>
      <c r="J8" s="635"/>
      <c r="K8" s="636"/>
    </row>
    <row r="9" spans="1:18">
      <c r="B9" s="15" t="s">
        <v>105</v>
      </c>
      <c r="C9" s="14"/>
      <c r="D9" s="745"/>
      <c r="E9" s="745"/>
      <c r="F9" s="745"/>
      <c r="G9" s="745"/>
      <c r="H9" s="745"/>
      <c r="I9" s="745"/>
      <c r="J9" s="745"/>
      <c r="K9" s="745"/>
    </row>
    <row r="10" spans="1:18">
      <c r="B10" s="426" t="s">
        <v>616</v>
      </c>
      <c r="C10" s="150" t="s">
        <v>128</v>
      </c>
      <c r="D10" s="590">
        <v>0</v>
      </c>
      <c r="E10" s="591">
        <v>3.800174480928078</v>
      </c>
      <c r="F10" s="591">
        <v>11.36689680407037</v>
      </c>
      <c r="G10" s="591">
        <v>0.89018571133751401</v>
      </c>
      <c r="H10" s="591">
        <v>5.7348646847720461</v>
      </c>
      <c r="I10" s="591"/>
      <c r="J10" s="591"/>
      <c r="K10" s="601"/>
    </row>
    <row r="11" spans="1:18">
      <c r="B11" s="426" t="s">
        <v>22</v>
      </c>
      <c r="C11" s="150" t="s">
        <v>128</v>
      </c>
      <c r="D11" s="592"/>
      <c r="E11" s="593"/>
      <c r="F11" s="593"/>
      <c r="G11" s="593"/>
      <c r="H11" s="593"/>
      <c r="I11" s="593"/>
      <c r="J11" s="593"/>
      <c r="K11" s="602"/>
    </row>
    <row r="12" spans="1:18">
      <c r="B12" s="426" t="s">
        <v>20</v>
      </c>
      <c r="C12" s="150" t="s">
        <v>128</v>
      </c>
      <c r="D12" s="603"/>
      <c r="E12" s="604"/>
      <c r="F12" s="604"/>
      <c r="G12" s="604"/>
      <c r="H12" s="604"/>
      <c r="I12" s="604"/>
      <c r="J12" s="604"/>
      <c r="K12" s="605"/>
      <c r="Q12" s="214"/>
    </row>
    <row r="13" spans="1:18">
      <c r="B13" s="14" t="s">
        <v>106</v>
      </c>
      <c r="C13" s="150" t="s">
        <v>128</v>
      </c>
      <c r="D13" s="735">
        <f>D8-SUM(D10:D12)</f>
        <v>0</v>
      </c>
      <c r="E13" s="736">
        <f t="shared" ref="E13:K13" si="1">E8-SUM(E10:E12)</f>
        <v>86.979825519071923</v>
      </c>
      <c r="F13" s="736">
        <f t="shared" si="1"/>
        <v>153.63310319592964</v>
      </c>
      <c r="G13" s="736">
        <f t="shared" si="1"/>
        <v>9.109814288662486</v>
      </c>
      <c r="H13" s="736">
        <f t="shared" si="1"/>
        <v>84.265135315227951</v>
      </c>
      <c r="I13" s="736">
        <f t="shared" si="1"/>
        <v>0</v>
      </c>
      <c r="J13" s="736">
        <f t="shared" si="1"/>
        <v>0</v>
      </c>
      <c r="K13" s="737">
        <f t="shared" si="1"/>
        <v>0</v>
      </c>
      <c r="R13" s="213"/>
    </row>
    <row r="14" spans="1:18">
      <c r="C14" s="14"/>
      <c r="Q14" s="214"/>
    </row>
    <row r="15" spans="1:18">
      <c r="B15" s="14" t="s">
        <v>503</v>
      </c>
      <c r="C15" s="150" t="s">
        <v>128</v>
      </c>
      <c r="D15" s="590">
        <v>0</v>
      </c>
      <c r="E15" s="591">
        <v>0</v>
      </c>
      <c r="F15" s="591">
        <v>0</v>
      </c>
      <c r="G15" s="591">
        <v>0</v>
      </c>
      <c r="H15" s="591">
        <v>0</v>
      </c>
      <c r="I15" s="591"/>
      <c r="J15" s="591"/>
      <c r="K15" s="601"/>
    </row>
  </sheetData>
  <conditionalFormatting sqref="D6:K6">
    <cfRule type="expression" dxfId="16" priority="10">
      <formula>AND(D$5="Actuals",E$5="N/A")</formula>
    </cfRule>
  </conditionalFormatting>
  <conditionalFormatting sqref="D5:K5">
    <cfRule type="expression" dxfId="15" priority="3">
      <formula>AND(D$5="Actuals",E$5="N/A")</formula>
    </cfRule>
  </conditionalFormatting>
  <conditionalFormatting sqref="D8:K8 D5:K6 D10:K13">
    <cfRule type="expression" dxfId="14" priority="2">
      <formula>D$5="N/A"</formula>
    </cfRule>
  </conditionalFormatting>
  <conditionalFormatting sqref="D15:K15">
    <cfRule type="expression" dxfId="13"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82" customWidth="1"/>
    <col min="3" max="3" width="14.08984375" customWidth="1"/>
    <col min="4" max="11" width="11.08984375" customWidth="1"/>
    <col min="12" max="12" width="5" customWidth="1"/>
  </cols>
  <sheetData>
    <row r="1" spans="1:12" s="31" customFormat="1" ht="21">
      <c r="A1" s="915" t="s">
        <v>259</v>
      </c>
      <c r="B1" s="911"/>
      <c r="C1" s="254"/>
      <c r="D1" s="254"/>
      <c r="E1" s="254"/>
      <c r="F1" s="254"/>
      <c r="G1" s="254"/>
      <c r="H1" s="254"/>
      <c r="I1" s="255"/>
      <c r="J1" s="255"/>
      <c r="K1" s="256"/>
      <c r="L1" s="257"/>
    </row>
    <row r="2" spans="1:12" s="31" customFormat="1" ht="21">
      <c r="A2" s="904" t="str">
        <f>'RFPR cover'!C5</f>
        <v>WPD-WMID</v>
      </c>
      <c r="B2" s="896"/>
      <c r="C2" s="29"/>
      <c r="D2" s="29"/>
      <c r="E2" s="29"/>
      <c r="F2" s="29"/>
      <c r="G2" s="29"/>
      <c r="H2" s="29"/>
      <c r="I2" s="27"/>
      <c r="J2" s="27"/>
      <c r="K2" s="27"/>
      <c r="L2" s="121"/>
    </row>
    <row r="3" spans="1:12" s="31" customFormat="1" ht="21">
      <c r="A3" s="907">
        <f>'RFPR cover'!C7</f>
        <v>2020</v>
      </c>
      <c r="B3" s="914"/>
      <c r="C3" s="258"/>
      <c r="D3" s="258"/>
      <c r="E3" s="258"/>
      <c r="F3" s="258"/>
      <c r="G3" s="258"/>
      <c r="H3" s="258"/>
      <c r="I3" s="253"/>
      <c r="J3" s="253"/>
      <c r="K3" s="253"/>
      <c r="L3" s="259"/>
    </row>
    <row r="4" spans="1:12" s="2" customFormat="1" ht="12.75" customHeight="1">
      <c r="A4" s="35"/>
      <c r="B4" s="267"/>
      <c r="C4" s="31"/>
      <c r="D4" s="268"/>
      <c r="E4" s="268"/>
      <c r="F4" s="35"/>
      <c r="G4" s="35"/>
      <c r="H4" s="35"/>
      <c r="I4" s="35"/>
      <c r="J4" s="35"/>
      <c r="K4" s="35"/>
    </row>
    <row r="5" spans="1:12" s="2" customFormat="1" ht="12.75" customHeight="1">
      <c r="A5" s="35"/>
      <c r="B5" s="267"/>
      <c r="C5" s="31"/>
      <c r="D5" s="385" t="str">
        <f>IF(D6&lt;='RFPR cover'!$C$7,"Actuals","Forecast")</f>
        <v>Actuals</v>
      </c>
      <c r="E5" s="386" t="str">
        <f>IF(E6&lt;='RFPR cover'!$C$7,"Actuals","Forecast")</f>
        <v>Actuals</v>
      </c>
      <c r="F5" s="386" t="str">
        <f>IF(F6&lt;='RFPR cover'!$C$7,"Actuals","Forecast")</f>
        <v>Actuals</v>
      </c>
      <c r="G5" s="386" t="str">
        <f>IF(G6&lt;='RFPR cover'!$C$7,"Actuals","Forecast")</f>
        <v>Actuals</v>
      </c>
      <c r="H5" s="386" t="str">
        <f>IF(H6&lt;='RFPR cover'!$C$7,"Actuals","Forecast")</f>
        <v>Actuals</v>
      </c>
      <c r="I5" s="386" t="str">
        <f>IF(I6&lt;='RFPR cover'!$C$7,"Actuals","Forecast")</f>
        <v>Forecast</v>
      </c>
      <c r="J5" s="386" t="str">
        <f>IF(J6&lt;='RFPR cover'!$C$7,"Actuals","Forecast")</f>
        <v>Forecast</v>
      </c>
      <c r="K5" s="387" t="str">
        <f>IF(K6&lt;='RFPR cover'!$C$7,"Actuals","Forecast")</f>
        <v>Forecast</v>
      </c>
    </row>
    <row r="6" spans="1:12" s="2" customFormat="1">
      <c r="A6" s="35"/>
      <c r="B6" s="35"/>
      <c r="C6" s="31"/>
      <c r="D6" s="115">
        <f>'RFPR cover'!$C$13</f>
        <v>2016</v>
      </c>
      <c r="E6" s="116">
        <f>D6+1</f>
        <v>2017</v>
      </c>
      <c r="F6" s="116">
        <f t="shared" ref="F6:K6" si="0">E6+1</f>
        <v>2018</v>
      </c>
      <c r="G6" s="116">
        <f t="shared" si="0"/>
        <v>2019</v>
      </c>
      <c r="H6" s="116">
        <f t="shared" si="0"/>
        <v>2020</v>
      </c>
      <c r="I6" s="116">
        <f t="shared" si="0"/>
        <v>2021</v>
      </c>
      <c r="J6" s="116">
        <f t="shared" si="0"/>
        <v>2022</v>
      </c>
      <c r="K6" s="193">
        <f t="shared" si="0"/>
        <v>2023</v>
      </c>
    </row>
    <row r="7" spans="1:12" s="2" customFormat="1">
      <c r="A7" s="35"/>
      <c r="B7" s="35"/>
      <c r="C7" s="31"/>
      <c r="D7" s="31"/>
      <c r="E7" s="31"/>
      <c r="F7" s="31"/>
      <c r="G7" s="31"/>
      <c r="H7" s="31"/>
      <c r="I7" s="31"/>
      <c r="J7" s="31"/>
      <c r="K7" s="31"/>
      <c r="L7" s="31"/>
    </row>
    <row r="8" spans="1:12">
      <c r="B8" s="14" t="s">
        <v>392</v>
      </c>
      <c r="C8" s="150" t="s">
        <v>128</v>
      </c>
      <c r="D8" s="746">
        <v>40.895576512943457</v>
      </c>
      <c r="E8" s="747">
        <v>85.966753350537701</v>
      </c>
      <c r="F8" s="747">
        <v>0</v>
      </c>
      <c r="G8" s="747">
        <v>37.997129320940687</v>
      </c>
      <c r="H8" s="747">
        <v>39.751668551898419</v>
      </c>
      <c r="I8" s="747"/>
      <c r="J8" s="747"/>
      <c r="K8" s="748"/>
    </row>
    <row r="9" spans="1:12">
      <c r="B9" s="16" t="s">
        <v>24</v>
      </c>
      <c r="D9" s="745"/>
      <c r="E9" s="745"/>
      <c r="F9" s="745"/>
      <c r="G9" s="745"/>
      <c r="H9" s="745"/>
      <c r="I9" s="745"/>
      <c r="J9" s="745"/>
      <c r="K9" s="745"/>
    </row>
    <row r="10" spans="1:12">
      <c r="B10" t="s">
        <v>23</v>
      </c>
      <c r="C10" s="150" t="s">
        <v>128</v>
      </c>
      <c r="D10" s="673">
        <v>32.01426104234946</v>
      </c>
      <c r="E10" s="674">
        <v>67.29726779598144</v>
      </c>
      <c r="F10" s="674">
        <v>0</v>
      </c>
      <c r="G10" s="674">
        <v>30.643299950161339</v>
      </c>
      <c r="H10" s="674">
        <v>32.058271893816382</v>
      </c>
      <c r="I10" s="674"/>
      <c r="J10" s="674"/>
      <c r="K10" s="675"/>
    </row>
    <row r="11" spans="1:12">
      <c r="B11" t="s">
        <v>25</v>
      </c>
      <c r="C11" s="150" t="s">
        <v>128</v>
      </c>
      <c r="D11" s="749">
        <v>1.1172056072545251</v>
      </c>
      <c r="E11" s="750">
        <v>2.3484823315864065</v>
      </c>
      <c r="F11" s="750">
        <v>0</v>
      </c>
      <c r="G11" s="750">
        <v>0.17104707475120423</v>
      </c>
      <c r="H11" s="750">
        <v>0.17894527149277109</v>
      </c>
      <c r="I11" s="750"/>
      <c r="J11" s="750"/>
      <c r="K11" s="751"/>
    </row>
    <row r="12" spans="1:12">
      <c r="D12" s="745"/>
      <c r="E12" s="745"/>
      <c r="F12" s="745"/>
      <c r="G12" s="745"/>
      <c r="H12" s="745"/>
      <c r="I12" s="745"/>
      <c r="J12" s="745"/>
      <c r="K12" s="745"/>
    </row>
    <row r="13" spans="1:12">
      <c r="D13" s="745"/>
      <c r="E13" s="745"/>
      <c r="F13" s="745"/>
      <c r="G13" s="745"/>
      <c r="H13" s="745"/>
      <c r="I13" s="745"/>
      <c r="J13" s="745"/>
      <c r="K13" s="745"/>
    </row>
    <row r="14" spans="1:12">
      <c r="B14" t="s">
        <v>23</v>
      </c>
      <c r="C14" s="208" t="str">
        <f>'RFPR cover'!$C$14</f>
        <v>£m 12/13</v>
      </c>
      <c r="D14" s="17">
        <f>D10/Data!C$34</f>
        <v>30.193110824516751</v>
      </c>
      <c r="E14" s="17">
        <f>E10/Data!D$34</f>
        <v>62.137570183181971</v>
      </c>
      <c r="F14" s="17">
        <f>F10/Data!E$34</f>
        <v>0</v>
      </c>
      <c r="G14" s="17">
        <f>G10/Data!F$34</f>
        <v>26.464658305821672</v>
      </c>
      <c r="H14" s="17">
        <f>H10/Data!G$34</f>
        <v>26.988039153389817</v>
      </c>
      <c r="I14" s="17">
        <f>I10/Data!H$34</f>
        <v>0</v>
      </c>
      <c r="J14" s="17">
        <f>J10/Data!I$34</f>
        <v>0</v>
      </c>
      <c r="K14" s="17">
        <f>K10/Data!J$34</f>
        <v>0</v>
      </c>
    </row>
    <row r="15" spans="1:12">
      <c r="D15" s="745"/>
      <c r="E15" s="745"/>
      <c r="F15" s="745"/>
      <c r="G15" s="745"/>
      <c r="H15" s="745"/>
      <c r="I15" s="745"/>
      <c r="J15" s="745"/>
      <c r="K15" s="745"/>
    </row>
    <row r="16" spans="1:12">
      <c r="D16" s="745"/>
      <c r="E16" s="745"/>
      <c r="F16" s="745"/>
      <c r="G16" s="745"/>
      <c r="H16" s="745"/>
      <c r="I16" s="745"/>
      <c r="J16" s="745"/>
      <c r="K16" s="745"/>
    </row>
    <row r="17" spans="2:11" s="2" customFormat="1">
      <c r="B17" s="14" t="s">
        <v>313</v>
      </c>
      <c r="C17" s="208" t="str">
        <f>'RFPR cover'!$C$14</f>
        <v>£m 12/13</v>
      </c>
      <c r="D17" s="752">
        <v>32.58122295595448</v>
      </c>
      <c r="E17" s="752">
        <v>32.58122295595448</v>
      </c>
      <c r="F17" s="752">
        <v>32.58122295595448</v>
      </c>
      <c r="G17" s="752">
        <v>32.576096326071422</v>
      </c>
      <c r="H17" s="752">
        <v>32.58009632607142</v>
      </c>
      <c r="I17" s="752">
        <v>32.581638680960168</v>
      </c>
      <c r="J17" s="752">
        <v>32.581638680960168</v>
      </c>
      <c r="K17" s="752">
        <v>32.581638680960168</v>
      </c>
    </row>
    <row r="18" spans="2:11" s="2" customFormat="1">
      <c r="B18" s="198" t="s">
        <v>314</v>
      </c>
      <c r="C18" s="208" t="str">
        <f>'RFPR cover'!$C$14</f>
        <v>£m 12/13</v>
      </c>
      <c r="D18" s="752">
        <v>4.5099120948329592</v>
      </c>
      <c r="E18" s="752">
        <v>4.5099120948329592</v>
      </c>
      <c r="F18" s="752">
        <v>4.5099120948329592</v>
      </c>
      <c r="G18" s="752">
        <v>4.5047854649497205</v>
      </c>
      <c r="H18" s="752">
        <v>4.5087854649497201</v>
      </c>
      <c r="I18" s="752">
        <v>4.5103278198384693</v>
      </c>
      <c r="J18" s="752">
        <v>4.5103278198384693</v>
      </c>
      <c r="K18" s="752">
        <v>4.5103278198384693</v>
      </c>
    </row>
    <row r="19" spans="2:11" s="2" customFormat="1">
      <c r="B19" s="14" t="s">
        <v>315</v>
      </c>
      <c r="C19" s="208" t="str">
        <f>'RFPR cover'!$C$14</f>
        <v>£m 12/13</v>
      </c>
      <c r="D19" s="17">
        <f>D17-D18</f>
        <v>28.071310861121521</v>
      </c>
      <c r="E19" s="17">
        <f t="shared" ref="E19:K19" si="1">E17-E18</f>
        <v>28.071310861121521</v>
      </c>
      <c r="F19" s="17">
        <f t="shared" si="1"/>
        <v>28.071310861121521</v>
      </c>
      <c r="G19" s="17">
        <f t="shared" si="1"/>
        <v>28.071310861121702</v>
      </c>
      <c r="H19" s="17">
        <f t="shared" si="1"/>
        <v>28.071310861121699</v>
      </c>
      <c r="I19" s="17">
        <f t="shared" si="1"/>
        <v>28.071310861121699</v>
      </c>
      <c r="J19" s="17">
        <f t="shared" si="1"/>
        <v>28.071310861121699</v>
      </c>
      <c r="K19" s="17">
        <f t="shared" si="1"/>
        <v>28.071310861121699</v>
      </c>
    </row>
    <row r="20" spans="2:11" s="2" customFormat="1">
      <c r="B20" s="14"/>
      <c r="C20" s="14"/>
      <c r="D20" s="14"/>
      <c r="E20" s="14"/>
      <c r="F20" s="14"/>
      <c r="G20" s="14"/>
      <c r="H20" s="14"/>
      <c r="I20" s="14"/>
      <c r="J20" s="14"/>
      <c r="K20" s="14"/>
    </row>
    <row r="21" spans="2:11" s="2" customFormat="1">
      <c r="B21" s="14"/>
      <c r="C21" s="14"/>
      <c r="D21" s="1009" t="s">
        <v>118</v>
      </c>
      <c r="E21" s="14"/>
      <c r="F21" s="14"/>
      <c r="G21" s="14"/>
      <c r="H21" s="14"/>
      <c r="I21" s="14"/>
      <c r="J21" s="14"/>
      <c r="K21" s="14"/>
    </row>
    <row r="22" spans="2:11" s="2" customFormat="1" ht="12.75" customHeight="1">
      <c r="B22" s="14"/>
      <c r="C22" s="14"/>
      <c r="D22" s="1010"/>
      <c r="E22" s="14"/>
      <c r="F22" s="14"/>
      <c r="G22" s="14"/>
      <c r="H22" s="14"/>
      <c r="I22" s="14"/>
      <c r="J22" s="14"/>
      <c r="K22" s="14"/>
    </row>
    <row r="23" spans="2:11">
      <c r="C23" s="14"/>
      <c r="D23" s="1011"/>
      <c r="E23" s="14"/>
    </row>
    <row r="24" spans="2:11">
      <c r="B24" s="14" t="s">
        <v>117</v>
      </c>
      <c r="C24" s="14"/>
      <c r="D24" s="940">
        <v>42460</v>
      </c>
    </row>
    <row r="25" spans="2:11">
      <c r="B25" s="14"/>
      <c r="C25" s="14"/>
      <c r="D25" s="40"/>
      <c r="E25" s="41"/>
      <c r="F25" s="41"/>
    </row>
    <row r="26" spans="2:11">
      <c r="B26" s="198" t="s">
        <v>312</v>
      </c>
      <c r="C26" s="14"/>
      <c r="D26" s="941" t="s">
        <v>77</v>
      </c>
      <c r="E26" s="41"/>
      <c r="F26" s="41"/>
    </row>
    <row r="27" spans="2:11">
      <c r="B27" s="198"/>
      <c r="C27" s="14"/>
      <c r="D27" s="40"/>
      <c r="E27" s="41"/>
      <c r="F27" s="41"/>
    </row>
    <row r="28" spans="2:11">
      <c r="B28" s="14"/>
      <c r="D28" s="358" t="s">
        <v>282</v>
      </c>
      <c r="E28" s="41"/>
      <c r="F28" s="41"/>
    </row>
    <row r="29" spans="2:11">
      <c r="B29" t="s">
        <v>26</v>
      </c>
      <c r="D29" s="942">
        <v>203.15120000000002</v>
      </c>
    </row>
    <row r="30" spans="2:11">
      <c r="B30" t="s">
        <v>27</v>
      </c>
      <c r="D30" s="942">
        <v>3287.3487999999998</v>
      </c>
    </row>
    <row r="31" spans="2:11">
      <c r="D31" s="745"/>
    </row>
    <row r="32" spans="2:11">
      <c r="B32" t="s">
        <v>28</v>
      </c>
      <c r="D32" s="942">
        <v>200.29999999999998</v>
      </c>
    </row>
    <row r="33" spans="2:4">
      <c r="B33" t="s">
        <v>29</v>
      </c>
      <c r="D33" s="942">
        <v>2687.3</v>
      </c>
    </row>
    <row r="34" spans="2:4">
      <c r="D34" s="745"/>
    </row>
    <row r="35" spans="2:4">
      <c r="B35" s="43" t="s">
        <v>31</v>
      </c>
      <c r="D35" s="943">
        <f>D29-D32</f>
        <v>2.8512000000000342</v>
      </c>
    </row>
    <row r="36" spans="2:4">
      <c r="B36" s="43" t="s">
        <v>30</v>
      </c>
      <c r="D36" s="943">
        <f>D30-D33</f>
        <v>600.04879999999957</v>
      </c>
    </row>
    <row r="37" spans="2:4">
      <c r="D37" s="745"/>
    </row>
    <row r="38" spans="2:4">
      <c r="B38" t="s">
        <v>32</v>
      </c>
      <c r="D38" s="942">
        <v>298.06789786789653</v>
      </c>
    </row>
    <row r="39" spans="2:4">
      <c r="B39" t="s">
        <v>33</v>
      </c>
      <c r="D39" s="942">
        <v>1.5106142563477876</v>
      </c>
    </row>
  </sheetData>
  <mergeCells count="1">
    <mergeCell ref="D21:D23"/>
  </mergeCells>
  <conditionalFormatting sqref="D6:J6">
    <cfRule type="expression" dxfId="12" priority="16">
      <formula>AND(D$4="Actuals",E$4="Forecast")</formula>
    </cfRule>
  </conditionalFormatting>
  <conditionalFormatting sqref="D11:K11">
    <cfRule type="expression" dxfId="11" priority="10">
      <formula>D$5="Forecast"</formula>
    </cfRule>
    <cfRule type="expression" dxfId="10" priority="11">
      <formula>D$5="Actuals"</formula>
    </cfRule>
  </conditionalFormatting>
  <conditionalFormatting sqref="D8:K8">
    <cfRule type="expression" dxfId="9" priority="14">
      <formula>D$5="Forecast"</formula>
    </cfRule>
    <cfRule type="expression" dxfId="8" priority="15">
      <formula>D$5="Actuals"</formula>
    </cfRule>
  </conditionalFormatting>
  <conditionalFormatting sqref="D10:K10">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70" zoomScaleNormal="70" workbookViewId="0">
      <pane ySplit="6" topLeftCell="A7" activePane="bottomLeft" state="frozen"/>
      <selection activeCell="B75" sqref="A1:XFD1048576"/>
      <selection pane="bottomLeft" activeCell="B23" sqref="B23"/>
    </sheetView>
  </sheetViews>
  <sheetFormatPr defaultRowHeight="12.6"/>
  <cols>
    <col min="1" max="1" width="8.36328125" customWidth="1"/>
    <col min="2" max="2" width="70.7265625" customWidth="1"/>
    <col min="3" max="3" width="14.08984375" customWidth="1"/>
    <col min="4" max="11" width="11.08984375" customWidth="1"/>
    <col min="12" max="12" width="5" customWidth="1"/>
  </cols>
  <sheetData>
    <row r="1" spans="1:19" s="31" customFormat="1" ht="21">
      <c r="A1" s="901" t="s">
        <v>258</v>
      </c>
      <c r="B1" s="911"/>
      <c r="C1" s="254"/>
      <c r="D1" s="254"/>
      <c r="E1" s="254"/>
      <c r="F1" s="254"/>
      <c r="G1" s="254"/>
      <c r="H1" s="254"/>
      <c r="I1" s="255"/>
      <c r="J1" s="255"/>
      <c r="K1" s="256"/>
      <c r="L1" s="359"/>
      <c r="M1" s="33"/>
      <c r="N1" s="33"/>
      <c r="O1" s="32" t="s">
        <v>84</v>
      </c>
      <c r="P1" s="33"/>
      <c r="Q1" s="33"/>
      <c r="R1" s="33"/>
      <c r="S1" s="33"/>
    </row>
    <row r="2" spans="1:19" s="31" customFormat="1" ht="21">
      <c r="A2" s="904" t="str">
        <f>'RFPR cover'!C5</f>
        <v>WPD-WMID</v>
      </c>
      <c r="B2" s="896"/>
      <c r="C2" s="29"/>
      <c r="D2" s="29"/>
      <c r="E2" s="29"/>
      <c r="F2" s="29"/>
      <c r="G2" s="29"/>
      <c r="H2" s="29"/>
      <c r="I2" s="27"/>
      <c r="J2" s="27"/>
      <c r="K2" s="27"/>
      <c r="L2" s="121"/>
      <c r="M2" s="33"/>
      <c r="N2" s="33"/>
      <c r="O2" s="32" t="s">
        <v>84</v>
      </c>
      <c r="P2" s="33"/>
      <c r="Q2" s="33"/>
      <c r="R2" s="33"/>
      <c r="S2" s="33"/>
    </row>
    <row r="3" spans="1:19" s="31" customFormat="1" ht="21">
      <c r="A3" s="907">
        <f>'RFPR cover'!C7</f>
        <v>2020</v>
      </c>
      <c r="B3" s="914"/>
      <c r="C3" s="258"/>
      <c r="D3" s="258"/>
      <c r="E3" s="258"/>
      <c r="F3" s="258"/>
      <c r="G3" s="258"/>
      <c r="H3" s="258"/>
      <c r="I3" s="253"/>
      <c r="J3" s="253"/>
      <c r="K3" s="253"/>
      <c r="L3" s="259"/>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85" t="str">
        <f>IF(D6&lt;='RFPR cover'!$C$7,"Actuals","Forecast")</f>
        <v>Actuals</v>
      </c>
      <c r="E5" s="386" t="str">
        <f>IF(E6&lt;='RFPR cover'!$C$7,"Actuals","Forecast")</f>
        <v>Actuals</v>
      </c>
      <c r="F5" s="386" t="str">
        <f>IF(F6&lt;='RFPR cover'!$C$7,"Actuals","Forecast")</f>
        <v>Actuals</v>
      </c>
      <c r="G5" s="386" t="str">
        <f>IF(G6&lt;='RFPR cover'!$C$7,"Actuals","Forecast")</f>
        <v>Actuals</v>
      </c>
      <c r="H5" s="386" t="str">
        <f>IF(H6&lt;='RFPR cover'!$C$7,"Actuals","Forecast")</f>
        <v>Actuals</v>
      </c>
      <c r="I5" s="386" t="str">
        <f>IF(I6&lt;='RFPR cover'!$C$7,"Actuals","Forecast")</f>
        <v>Forecast</v>
      </c>
      <c r="J5" s="386" t="str">
        <f>IF(J6&lt;='RFPR cover'!$C$7,"Actuals","Forecast")</f>
        <v>Forecast</v>
      </c>
      <c r="K5" s="387" t="str">
        <f>IF(K6&lt;='RFPR cover'!$C$7,"Actuals","Forecast")</f>
        <v>Forecast</v>
      </c>
      <c r="M5" s="33"/>
      <c r="N5" s="33"/>
      <c r="O5" s="32" t="s">
        <v>84</v>
      </c>
      <c r="P5" s="33"/>
      <c r="Q5" s="33"/>
      <c r="R5" s="33"/>
      <c r="S5" s="33"/>
    </row>
    <row r="6" spans="1:19" s="2" customFormat="1">
      <c r="C6" s="14"/>
      <c r="D6" s="115">
        <f>'RFPR cover'!$C$13</f>
        <v>2016</v>
      </c>
      <c r="E6" s="116">
        <f>D6+1</f>
        <v>2017</v>
      </c>
      <c r="F6" s="116">
        <f t="shared" ref="F6:K6" si="0">E6+1</f>
        <v>2018</v>
      </c>
      <c r="G6" s="116">
        <f t="shared" si="0"/>
        <v>2019</v>
      </c>
      <c r="H6" s="116">
        <f t="shared" si="0"/>
        <v>2020</v>
      </c>
      <c r="I6" s="116">
        <f t="shared" si="0"/>
        <v>2021</v>
      </c>
      <c r="J6" s="116">
        <f t="shared" si="0"/>
        <v>2022</v>
      </c>
      <c r="K6" s="193">
        <f t="shared" si="0"/>
        <v>2023</v>
      </c>
    </row>
    <row r="7" spans="1:19">
      <c r="D7" s="756"/>
      <c r="E7" s="756"/>
      <c r="F7" s="756"/>
      <c r="G7" s="756"/>
      <c r="H7" s="756"/>
      <c r="I7" s="756"/>
      <c r="J7" s="756"/>
      <c r="K7" s="756"/>
    </row>
    <row r="8" spans="1:19">
      <c r="B8" s="51" t="s">
        <v>466</v>
      </c>
      <c r="C8" s="208" t="str">
        <f>'RFPR cover'!$C$14</f>
        <v>£m 12/13</v>
      </c>
      <c r="D8" s="753">
        <f>(D16+D21)/Data!C34</f>
        <v>1.3580847463506953E-3</v>
      </c>
      <c r="E8" s="753">
        <f>(E16+E21)/Data!D34</f>
        <v>6.9803729923922074E-4</v>
      </c>
      <c r="F8" s="753">
        <f>(F16+F21)/Data!E34</f>
        <v>9.8405617060980262E-4</v>
      </c>
      <c r="G8" s="753">
        <f>(G16+G21)/Data!F34</f>
        <v>9.0940875301792845E-5</v>
      </c>
      <c r="H8" s="753">
        <f>(H16+H21)/Data!G34</f>
        <v>4.7118807415996314E-3</v>
      </c>
      <c r="I8" s="753">
        <f>(I16+I21)/Data!H34</f>
        <v>1.495202975433147E-3</v>
      </c>
      <c r="J8" s="753">
        <f>(J16+J21)/Data!I34</f>
        <v>1.4640910408158106E-3</v>
      </c>
      <c r="K8" s="753">
        <f>(K16+K21)/Data!J34</f>
        <v>1.427337110227454E-3</v>
      </c>
    </row>
    <row r="9" spans="1:19">
      <c r="D9" s="756"/>
      <c r="E9" s="756"/>
      <c r="F9" s="756"/>
      <c r="G9" s="756"/>
      <c r="H9" s="756"/>
      <c r="I9" s="756"/>
      <c r="J9" s="756"/>
      <c r="K9" s="756"/>
    </row>
    <row r="10" spans="1:19">
      <c r="B10" s="14" t="s">
        <v>450</v>
      </c>
      <c r="D10" s="756"/>
      <c r="E10" s="756"/>
      <c r="F10" s="756"/>
      <c r="G10" s="756"/>
      <c r="H10" s="756"/>
      <c r="I10" s="756"/>
      <c r="J10" s="756"/>
      <c r="K10" s="756"/>
    </row>
    <row r="11" spans="1:19">
      <c r="B11" s="44" t="s">
        <v>36</v>
      </c>
      <c r="C11" s="150" t="s">
        <v>128</v>
      </c>
      <c r="D11" s="634">
        <v>0</v>
      </c>
      <c r="E11" s="635">
        <v>0</v>
      </c>
      <c r="F11" s="635">
        <v>0</v>
      </c>
      <c r="G11" s="635">
        <v>0</v>
      </c>
      <c r="H11" s="635">
        <v>0</v>
      </c>
      <c r="I11" s="635">
        <v>0</v>
      </c>
      <c r="J11" s="635">
        <v>0</v>
      </c>
      <c r="K11" s="636">
        <v>0</v>
      </c>
    </row>
    <row r="12" spans="1:19">
      <c r="B12" s="44" t="s">
        <v>36</v>
      </c>
      <c r="C12" s="150" t="s">
        <v>128</v>
      </c>
      <c r="D12" s="634">
        <v>0</v>
      </c>
      <c r="E12" s="635">
        <v>0</v>
      </c>
      <c r="F12" s="635">
        <v>0</v>
      </c>
      <c r="G12" s="635">
        <v>0</v>
      </c>
      <c r="H12" s="635">
        <v>0</v>
      </c>
      <c r="I12" s="635">
        <v>0</v>
      </c>
      <c r="J12" s="635">
        <v>0</v>
      </c>
      <c r="K12" s="636">
        <v>0</v>
      </c>
    </row>
    <row r="13" spans="1:19">
      <c r="B13" s="44" t="s">
        <v>20</v>
      </c>
      <c r="C13" s="150" t="s">
        <v>128</v>
      </c>
      <c r="D13" s="634">
        <v>0</v>
      </c>
      <c r="E13" s="635">
        <v>0</v>
      </c>
      <c r="F13" s="635">
        <v>0</v>
      </c>
      <c r="G13" s="635">
        <v>0</v>
      </c>
      <c r="H13" s="635">
        <v>0</v>
      </c>
      <c r="I13" s="635">
        <v>0</v>
      </c>
      <c r="J13" s="635">
        <v>0</v>
      </c>
      <c r="K13" s="636">
        <v>0</v>
      </c>
    </row>
    <row r="14" spans="1:19">
      <c r="B14" s="14" t="s">
        <v>463</v>
      </c>
      <c r="C14" s="150" t="s">
        <v>128</v>
      </c>
      <c r="D14" s="753">
        <f>SUM(D11:D13)</f>
        <v>0</v>
      </c>
      <c r="E14" s="754">
        <f t="shared" ref="E14:K14" si="1">SUM(E11:E13)</f>
        <v>0</v>
      </c>
      <c r="F14" s="754">
        <f t="shared" si="1"/>
        <v>0</v>
      </c>
      <c r="G14" s="754">
        <f t="shared" si="1"/>
        <v>0</v>
      </c>
      <c r="H14" s="754">
        <f t="shared" si="1"/>
        <v>0</v>
      </c>
      <c r="I14" s="754">
        <f t="shared" si="1"/>
        <v>0</v>
      </c>
      <c r="J14" s="754">
        <f t="shared" si="1"/>
        <v>0</v>
      </c>
      <c r="K14" s="755">
        <f t="shared" si="1"/>
        <v>0</v>
      </c>
    </row>
    <row r="15" spans="1:19">
      <c r="B15" s="35" t="s">
        <v>457</v>
      </c>
      <c r="C15" s="150" t="s">
        <v>128</v>
      </c>
      <c r="D15" s="634"/>
      <c r="E15" s="635"/>
      <c r="F15" s="635"/>
      <c r="G15" s="635"/>
      <c r="H15" s="635"/>
      <c r="I15" s="635"/>
      <c r="J15" s="635"/>
      <c r="K15" s="636"/>
    </row>
    <row r="16" spans="1:19">
      <c r="B16" s="51" t="s">
        <v>464</v>
      </c>
      <c r="C16" s="150" t="s">
        <v>128</v>
      </c>
      <c r="D16" s="753">
        <f>D14-D15</f>
        <v>0</v>
      </c>
      <c r="E16" s="753">
        <f t="shared" ref="E16:K16" si="2">E14-E15</f>
        <v>0</v>
      </c>
      <c r="F16" s="753">
        <f t="shared" si="2"/>
        <v>0</v>
      </c>
      <c r="G16" s="753">
        <f t="shared" si="2"/>
        <v>0</v>
      </c>
      <c r="H16" s="753">
        <f t="shared" si="2"/>
        <v>0</v>
      </c>
      <c r="I16" s="753">
        <f t="shared" si="2"/>
        <v>0</v>
      </c>
      <c r="J16" s="753">
        <f t="shared" si="2"/>
        <v>0</v>
      </c>
      <c r="K16" s="753">
        <f t="shared" si="2"/>
        <v>0</v>
      </c>
    </row>
    <row r="18" spans="2:11">
      <c r="B18" s="14" t="s">
        <v>461</v>
      </c>
      <c r="D18" s="756"/>
      <c r="E18" s="756"/>
      <c r="F18" s="756"/>
      <c r="G18" s="756"/>
      <c r="H18" s="756"/>
      <c r="I18" s="756"/>
      <c r="J18" s="756"/>
      <c r="K18" s="756"/>
    </row>
    <row r="19" spans="2:11">
      <c r="B19" s="841" t="s">
        <v>462</v>
      </c>
      <c r="C19" s="150" t="s">
        <v>128</v>
      </c>
      <c r="D19" s="634">
        <v>1.7999999999999995E-3</v>
      </c>
      <c r="E19" s="635">
        <v>9.4499999999999792E-4</v>
      </c>
      <c r="F19" s="635">
        <v>1.3649999999999982E-3</v>
      </c>
      <c r="G19" s="635">
        <v>1.3000000000000164E-4</v>
      </c>
      <c r="H19" s="635">
        <v>6.9100000000000003E-3</v>
      </c>
      <c r="I19" s="635">
        <f>AVERAGE($D$19:$H$19)</f>
        <v>2.2299999999999993E-3</v>
      </c>
      <c r="J19" s="635">
        <f t="shared" ref="J19:K19" si="3">AVERAGE($D$19:$H$19)</f>
        <v>2.2299999999999993E-3</v>
      </c>
      <c r="K19" s="636">
        <f t="shared" si="3"/>
        <v>2.2299999999999993E-3</v>
      </c>
    </row>
    <row r="20" spans="2:11">
      <c r="B20" s="35" t="s">
        <v>457</v>
      </c>
      <c r="C20" s="150" t="s">
        <v>128</v>
      </c>
      <c r="D20" s="634">
        <f>+D19*Data!G20</f>
        <v>3.5999999999999991E-4</v>
      </c>
      <c r="E20" s="635">
        <f>+E19*Data!$G$21</f>
        <v>1.8899999999999961E-4</v>
      </c>
      <c r="F20" s="635">
        <f>+F19*Data!$G$22</f>
        <v>2.5934999999999966E-4</v>
      </c>
      <c r="G20" s="635">
        <f>+G19*Data!$G$23</f>
        <v>2.4700000000000312E-5</v>
      </c>
      <c r="H20" s="635">
        <f>+H19*Data!$G$24</f>
        <v>1.3129000000000001E-3</v>
      </c>
      <c r="I20" s="635">
        <f>+I19*Data!$G$25</f>
        <v>4.2369999999999989E-4</v>
      </c>
      <c r="J20" s="635">
        <f>+J19*Data!$G$26</f>
        <v>4.2369999999999989E-4</v>
      </c>
      <c r="K20" s="636">
        <f>+K19*Data!$G$27</f>
        <v>4.2369999999999989E-4</v>
      </c>
    </row>
    <row r="21" spans="2:11">
      <c r="B21" s="51" t="s">
        <v>465</v>
      </c>
      <c r="C21" s="150" t="s">
        <v>128</v>
      </c>
      <c r="D21" s="753">
        <f>D19-D20</f>
        <v>1.4399999999999997E-3</v>
      </c>
      <c r="E21" s="753">
        <f t="shared" ref="E21:K21" si="4">E19-E20</f>
        <v>7.5599999999999832E-4</v>
      </c>
      <c r="F21" s="753">
        <f t="shared" si="4"/>
        <v>1.1056499999999984E-3</v>
      </c>
      <c r="G21" s="753">
        <f t="shared" si="4"/>
        <v>1.0530000000000133E-4</v>
      </c>
      <c r="H21" s="753">
        <f t="shared" si="4"/>
        <v>5.5971000000000007E-3</v>
      </c>
      <c r="I21" s="753">
        <f t="shared" si="4"/>
        <v>1.8062999999999994E-3</v>
      </c>
      <c r="J21" s="753">
        <f t="shared" si="4"/>
        <v>1.8062999999999994E-3</v>
      </c>
      <c r="K21" s="753">
        <f t="shared" si="4"/>
        <v>1.8062999999999994E-3</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zoomScale="70" zoomScaleNormal="70" workbookViewId="0">
      <pane ySplit="4" topLeftCell="A5" activePane="bottomLeft" state="frozen"/>
      <selection activeCell="B75" sqref="A1:XFD1048576"/>
      <selection pane="bottomLeft" activeCell="C8" sqref="C8"/>
    </sheetView>
  </sheetViews>
  <sheetFormatPr defaultRowHeight="12.6"/>
  <cols>
    <col min="1" max="1" width="8.36328125" customWidth="1"/>
    <col min="2" max="2" width="35.08984375" customWidth="1"/>
    <col min="8" max="8" width="10.08984375" bestFit="1" customWidth="1"/>
    <col min="14" max="14" width="9" customWidth="1"/>
  </cols>
  <sheetData>
    <row r="1" spans="1:14" ht="21">
      <c r="A1" s="901" t="s">
        <v>374</v>
      </c>
      <c r="B1" s="902"/>
      <c r="C1" s="902"/>
      <c r="D1" s="902"/>
      <c r="E1" s="902"/>
      <c r="F1" s="902"/>
      <c r="G1" s="902"/>
      <c r="H1" s="902"/>
      <c r="I1" s="902"/>
      <c r="J1" s="902"/>
      <c r="K1" s="902"/>
      <c r="L1" s="902"/>
      <c r="M1" s="902"/>
      <c r="N1" s="903"/>
    </row>
    <row r="2" spans="1:14" ht="21">
      <c r="A2" s="904" t="str">
        <f>'RFPR cover'!C5</f>
        <v>WPD-WMID</v>
      </c>
      <c r="B2" s="905"/>
      <c r="C2" s="905"/>
      <c r="D2" s="905"/>
      <c r="E2" s="905"/>
      <c r="F2" s="905"/>
      <c r="G2" s="905"/>
      <c r="H2" s="905"/>
      <c r="I2" s="905"/>
      <c r="J2" s="905"/>
      <c r="K2" s="905"/>
      <c r="L2" s="905"/>
      <c r="M2" s="905"/>
      <c r="N2" s="906"/>
    </row>
    <row r="3" spans="1:14" ht="21">
      <c r="A3" s="907">
        <f>'RFPR cover'!C7</f>
        <v>2020</v>
      </c>
      <c r="B3" s="908"/>
      <c r="C3" s="908"/>
      <c r="D3" s="908"/>
      <c r="E3" s="908"/>
      <c r="F3" s="908"/>
      <c r="G3" s="908"/>
      <c r="H3" s="908"/>
      <c r="I3" s="908"/>
      <c r="J3" s="908"/>
      <c r="K3" s="908"/>
      <c r="L3" s="908"/>
      <c r="M3" s="908"/>
      <c r="N3" s="909"/>
    </row>
    <row r="6" spans="1:14">
      <c r="A6" s="30"/>
      <c r="B6" s="21">
        <v>2018</v>
      </c>
      <c r="C6" s="20" t="s">
        <v>63</v>
      </c>
      <c r="D6" s="18"/>
      <c r="E6" s="18"/>
      <c r="F6" s="838"/>
      <c r="G6" s="18"/>
    </row>
    <row r="7" spans="1:14">
      <c r="A7" s="30"/>
      <c r="B7" s="21">
        <v>2019</v>
      </c>
      <c r="C7" s="20" t="s">
        <v>64</v>
      </c>
      <c r="D7" s="18"/>
      <c r="E7" s="18"/>
      <c r="F7" s="18"/>
      <c r="G7" s="18"/>
    </row>
    <row r="8" spans="1:14" ht="13.2">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ht="13.2">
      <c r="A11" s="30"/>
      <c r="B11" s="21">
        <v>2023</v>
      </c>
      <c r="C11" s="20" t="s">
        <v>68</v>
      </c>
      <c r="D11" s="19"/>
      <c r="E11" s="19"/>
      <c r="F11" s="19"/>
    </row>
    <row r="12" spans="1:14">
      <c r="A12" s="30"/>
      <c r="B12" s="18"/>
      <c r="C12" s="18"/>
      <c r="D12" s="18"/>
      <c r="E12" s="18"/>
      <c r="F12" s="18"/>
    </row>
    <row r="13" spans="1:14" ht="75" customHeight="1">
      <c r="A13" s="30"/>
      <c r="B13" s="547" t="s">
        <v>39</v>
      </c>
      <c r="C13" s="548" t="s">
        <v>40</v>
      </c>
      <c r="D13" s="548" t="s">
        <v>192</v>
      </c>
      <c r="E13" s="548" t="s">
        <v>41</v>
      </c>
      <c r="F13" s="548" t="s">
        <v>42</v>
      </c>
      <c r="G13" s="549" t="s">
        <v>320</v>
      </c>
    </row>
    <row r="14" spans="1:14">
      <c r="A14" s="30"/>
      <c r="B14" s="160" t="s">
        <v>74</v>
      </c>
      <c r="C14" s="167">
        <v>2010</v>
      </c>
      <c r="D14" s="161" t="str">
        <f>IF(VALUE(C14)&lt;='RFPR cover'!$C$7,"Actual","Forecast")</f>
        <v>Actual</v>
      </c>
      <c r="E14" s="369">
        <v>215.767</v>
      </c>
      <c r="F14" s="494">
        <v>221.75</v>
      </c>
      <c r="G14" s="162">
        <v>0.28000000000000003</v>
      </c>
      <c r="H14" s="839"/>
      <c r="J14" s="840"/>
    </row>
    <row r="15" spans="1:14">
      <c r="A15" s="30"/>
      <c r="B15" s="163" t="s">
        <v>75</v>
      </c>
      <c r="C15" s="168">
        <v>2011</v>
      </c>
      <c r="D15" s="164" t="str">
        <f>IF(VALUE(C15)&lt;='RFPR cover'!$C$7,"Actual","Forecast")</f>
        <v>Actual</v>
      </c>
      <c r="E15" s="370">
        <v>226.47499999999999</v>
      </c>
      <c r="F15" s="495">
        <v>233.45</v>
      </c>
      <c r="G15" s="165">
        <v>0.28000000000000003</v>
      </c>
      <c r="H15" s="839"/>
      <c r="J15" s="840"/>
    </row>
    <row r="16" spans="1:14" ht="14.25" customHeight="1">
      <c r="A16" s="30"/>
      <c r="B16" s="163" t="s">
        <v>76</v>
      </c>
      <c r="C16" s="168">
        <v>2012</v>
      </c>
      <c r="D16" s="164" t="str">
        <f>IF(VALUE(C16)&lt;='RFPR cover'!$C$7,"Actual","Forecast")</f>
        <v>Actual</v>
      </c>
      <c r="E16" s="370">
        <v>237.34200000000001</v>
      </c>
      <c r="F16" s="495">
        <v>241.65</v>
      </c>
      <c r="G16" s="165">
        <v>0.26</v>
      </c>
      <c r="H16" s="839"/>
      <c r="J16" s="840"/>
    </row>
    <row r="17" spans="2:10">
      <c r="B17" s="163" t="s">
        <v>77</v>
      </c>
      <c r="C17" s="168">
        <v>2013</v>
      </c>
      <c r="D17" s="164" t="str">
        <f>IF(VALUE(C17)&lt;='RFPR cover'!$C$7,"Actual","Forecast")</f>
        <v>Actual</v>
      </c>
      <c r="E17" s="370">
        <v>244.67500000000001</v>
      </c>
      <c r="F17" s="495">
        <v>249.1</v>
      </c>
      <c r="G17" s="165">
        <v>0.24</v>
      </c>
      <c r="H17" s="839"/>
      <c r="J17" s="840"/>
    </row>
    <row r="18" spans="2:10">
      <c r="B18" s="163" t="s">
        <v>78</v>
      </c>
      <c r="C18" s="168">
        <v>2014</v>
      </c>
      <c r="D18" s="164" t="str">
        <f>IF(VALUE(C18)&lt;='RFPR cover'!$C$7,"Actual","Forecast")</f>
        <v>Actual</v>
      </c>
      <c r="E18" s="370">
        <v>251.733</v>
      </c>
      <c r="F18" s="495">
        <v>255.25</v>
      </c>
      <c r="G18" s="165">
        <v>0.23</v>
      </c>
      <c r="H18" s="839"/>
      <c r="I18" s="514"/>
      <c r="J18" s="840"/>
    </row>
    <row r="19" spans="2:10">
      <c r="B19" s="163" t="s">
        <v>79</v>
      </c>
      <c r="C19" s="168">
        <v>2015</v>
      </c>
      <c r="D19" s="164" t="str">
        <f>IF(VALUE(C19)&lt;='RFPR cover'!$C$7,"Actual","Forecast")</f>
        <v>Actual</v>
      </c>
      <c r="E19" s="370">
        <v>256.66699999999997</v>
      </c>
      <c r="F19" s="495">
        <v>257.55</v>
      </c>
      <c r="G19" s="165">
        <v>0.21</v>
      </c>
      <c r="H19" s="839"/>
      <c r="I19" s="514"/>
      <c r="J19" s="840"/>
    </row>
    <row r="20" spans="2:10">
      <c r="B20" s="163" t="s">
        <v>80</v>
      </c>
      <c r="C20" s="168">
        <v>2016</v>
      </c>
      <c r="D20" s="164" t="str">
        <f>IF(VALUE(C20)&lt;='RFPR cover'!$C$7,"Actual","Forecast")</f>
        <v>Actual</v>
      </c>
      <c r="E20" s="370">
        <v>259.43299999999999</v>
      </c>
      <c r="F20" s="495">
        <v>261.25</v>
      </c>
      <c r="G20" s="165">
        <v>0.2</v>
      </c>
      <c r="H20" s="839"/>
      <c r="I20" s="514"/>
      <c r="J20" s="840"/>
    </row>
    <row r="21" spans="2:10">
      <c r="B21" s="163" t="s">
        <v>81</v>
      </c>
      <c r="C21" s="168">
        <v>2017</v>
      </c>
      <c r="D21" s="164" t="str">
        <f>IF(VALUE(C21)&lt;='RFPR cover'!$C$7,"Actual","Forecast")</f>
        <v>Actual</v>
      </c>
      <c r="E21" s="370">
        <v>264.99200000000002</v>
      </c>
      <c r="F21" s="495">
        <v>269.95000000000005</v>
      </c>
      <c r="G21" s="165">
        <v>0.2</v>
      </c>
      <c r="H21" s="839"/>
      <c r="I21" s="514"/>
      <c r="J21" s="840"/>
    </row>
    <row r="22" spans="2:10">
      <c r="B22" s="163" t="s">
        <v>63</v>
      </c>
      <c r="C22" s="168">
        <v>2018</v>
      </c>
      <c r="D22" s="164" t="str">
        <f>IF(VALUE(C22)&lt;='RFPR cover'!$C$7,"Actual","Forecast")</f>
        <v>Actual</v>
      </c>
      <c r="E22" s="370">
        <v>274.90800000000002</v>
      </c>
      <c r="F22" s="495">
        <v>279</v>
      </c>
      <c r="G22" s="165">
        <v>0.19</v>
      </c>
      <c r="H22" s="839"/>
      <c r="I22" s="514"/>
      <c r="J22" s="840"/>
    </row>
    <row r="23" spans="2:10">
      <c r="B23" s="497" t="s">
        <v>64</v>
      </c>
      <c r="C23" s="498">
        <v>2019</v>
      </c>
      <c r="D23" s="164" t="str">
        <f>IF(VALUE(C23)&lt;='RFPR cover'!$C$7,"Actual","Forecast")</f>
        <v>Actual</v>
      </c>
      <c r="E23" s="370">
        <v>283.30799999999999</v>
      </c>
      <c r="F23" s="495">
        <v>286.64999999999998</v>
      </c>
      <c r="G23" s="165">
        <v>0.19</v>
      </c>
      <c r="H23" s="839"/>
      <c r="J23" s="840"/>
    </row>
    <row r="24" spans="2:10">
      <c r="B24" s="497" t="s">
        <v>65</v>
      </c>
      <c r="C24" s="498">
        <v>2020</v>
      </c>
      <c r="D24" s="164" t="str">
        <f>IF(VALUE(C24)&lt;='RFPR cover'!$C$7,"Actual","Forecast")</f>
        <v>Actual</v>
      </c>
      <c r="E24" s="370">
        <v>290.642</v>
      </c>
      <c r="F24" s="495">
        <v>292.60000000000002</v>
      </c>
      <c r="G24" s="165">
        <v>0.19</v>
      </c>
      <c r="H24" s="839"/>
      <c r="J24" s="840"/>
    </row>
    <row r="25" spans="2:10">
      <c r="B25" s="497" t="s">
        <v>66</v>
      </c>
      <c r="C25" s="498">
        <v>2021</v>
      </c>
      <c r="D25" s="164" t="str">
        <f>IF(VALUE(C25)&lt;='RFPR cover'!$C$7,"Actual","Forecast")</f>
        <v>Forecast</v>
      </c>
      <c r="E25" s="496">
        <f t="shared" ref="E25:F27" si="0">E24*(1+INDEX($D$43:$J$43,0,MATCH($C25,$D$42:$J$42,0)))</f>
        <v>295.58291399999996</v>
      </c>
      <c r="F25" s="496">
        <f t="shared" si="0"/>
        <v>297.57420000000002</v>
      </c>
      <c r="G25" s="165">
        <v>0.19</v>
      </c>
      <c r="H25" s="839"/>
      <c r="J25" s="840"/>
    </row>
    <row r="26" spans="2:10">
      <c r="B26" s="497" t="s">
        <v>67</v>
      </c>
      <c r="C26" s="498">
        <v>2022</v>
      </c>
      <c r="D26" s="164" t="str">
        <f>IF(VALUE(C26)&lt;='RFPR cover'!$C$7,"Actual","Forecast")</f>
        <v>Forecast</v>
      </c>
      <c r="E26" s="496">
        <f t="shared" si="0"/>
        <v>301.86405092249998</v>
      </c>
      <c r="F26" s="496">
        <f t="shared" si="0"/>
        <v>303.89765175000002</v>
      </c>
      <c r="G26" s="165">
        <v>0.19</v>
      </c>
      <c r="H26" s="839"/>
      <c r="J26" s="840"/>
    </row>
    <row r="27" spans="2:10">
      <c r="B27" s="497" t="s">
        <v>68</v>
      </c>
      <c r="C27" s="498">
        <v>2023</v>
      </c>
      <c r="D27" s="164" t="str">
        <f>IF(VALUE(C27)&lt;='RFPR cover'!$C$7,"Actual","Forecast")</f>
        <v>Forecast</v>
      </c>
      <c r="E27" s="496">
        <f t="shared" si="0"/>
        <v>309.63705023375434</v>
      </c>
      <c r="F27" s="496">
        <f t="shared" si="0"/>
        <v>311.72301628256253</v>
      </c>
      <c r="G27" s="165">
        <v>0.19</v>
      </c>
      <c r="H27" s="839"/>
      <c r="J27" s="840"/>
    </row>
    <row r="28" spans="2:10">
      <c r="B28" s="497" t="s">
        <v>205</v>
      </c>
      <c r="C28" s="498">
        <v>2024</v>
      </c>
      <c r="D28" s="164" t="str">
        <f>IF(VALUE(C28)&lt;='RFPR cover'!$C$7,"Actual","Forecast")</f>
        <v>Forecast</v>
      </c>
      <c r="E28" s="372"/>
      <c r="F28" s="372"/>
      <c r="G28" s="165">
        <v>0.19</v>
      </c>
    </row>
    <row r="29" spans="2:10">
      <c r="B29" s="497" t="s">
        <v>206</v>
      </c>
      <c r="C29" s="498">
        <v>2025</v>
      </c>
      <c r="D29" s="164" t="str">
        <f>IF(VALUE(C29)&lt;='RFPR cover'!$C$7,"Actual","Forecast")</f>
        <v>Forecast</v>
      </c>
      <c r="E29" s="372"/>
      <c r="F29" s="372"/>
      <c r="G29" s="165">
        <v>0.19</v>
      </c>
    </row>
    <row r="30" spans="2:10">
      <c r="B30" s="499" t="s">
        <v>207</v>
      </c>
      <c r="C30" s="500">
        <v>2026</v>
      </c>
      <c r="D30" s="166" t="str">
        <f>IF(VALUE(C30)&lt;='RFPR cover'!$C$7,"Actual","Forecast")</f>
        <v>Forecast</v>
      </c>
      <c r="E30" s="371"/>
      <c r="F30" s="371"/>
      <c r="G30" s="165">
        <v>0.19</v>
      </c>
    </row>
    <row r="31" spans="2:10">
      <c r="B31" s="86"/>
      <c r="C31" s="67"/>
      <c r="D31" s="67"/>
      <c r="E31" s="67"/>
      <c r="F31" s="67"/>
    </row>
    <row r="32" spans="2:10">
      <c r="B32" s="86"/>
      <c r="C32" s="339" t="str">
        <f>IF(C33&lt;='RFPR cover'!$C$7,"Actuals","Forecast")</f>
        <v>Actuals</v>
      </c>
      <c r="D32" s="340" t="str">
        <f>IF(D33&lt;='RFPR cover'!$C$7,"Actuals","Forecast")</f>
        <v>Actuals</v>
      </c>
      <c r="E32" s="340" t="str">
        <f>IF(E33&lt;='RFPR cover'!$C$7,"Actuals","Forecast")</f>
        <v>Actuals</v>
      </c>
      <c r="F32" s="340" t="str">
        <f>IF(F33&lt;='RFPR cover'!$C$7,"Actuals","Forecast")</f>
        <v>Actuals</v>
      </c>
      <c r="G32" s="340" t="str">
        <f>IF(G33&lt;='RFPR cover'!$C$7,"Actuals","Forecast")</f>
        <v>Actuals</v>
      </c>
      <c r="H32" s="340" t="str">
        <f>IF(H33&lt;='RFPR cover'!$C$7,"Actuals","Forecast")</f>
        <v>Forecast</v>
      </c>
      <c r="I32" s="340" t="str">
        <f>IF(I33&lt;='RFPR cover'!$C$7,"Actuals","Forecast")</f>
        <v>Forecast</v>
      </c>
      <c r="J32" s="341" t="str">
        <f>IF(J33&lt;='RFPR cover'!$C$7,"Actuals","Forecast")</f>
        <v>Forecast</v>
      </c>
    </row>
    <row r="33" spans="2:13" ht="15.75" customHeight="1">
      <c r="B33" s="286"/>
      <c r="C33" s="88">
        <f>'RFPR cover'!$C$13</f>
        <v>2016</v>
      </c>
      <c r="D33" s="89">
        <f t="shared" ref="D33:J33" si="1">C33+1</f>
        <v>2017</v>
      </c>
      <c r="E33" s="89">
        <f t="shared" si="1"/>
        <v>2018</v>
      </c>
      <c r="F33" s="89">
        <f t="shared" si="1"/>
        <v>2019</v>
      </c>
      <c r="G33" s="89">
        <f t="shared" si="1"/>
        <v>2020</v>
      </c>
      <c r="H33" s="89">
        <f t="shared" si="1"/>
        <v>2021</v>
      </c>
      <c r="I33" s="89">
        <f t="shared" si="1"/>
        <v>2022</v>
      </c>
      <c r="J33" s="313">
        <f t="shared" si="1"/>
        <v>2023</v>
      </c>
    </row>
    <row r="34" spans="2:13" ht="15.75" customHeight="1">
      <c r="B34" s="492" t="s">
        <v>375</v>
      </c>
      <c r="C34" s="490">
        <f>INDEX(Data!$E$14:$E$30,MATCH(C$33,Data!$C$14:$C$30,0),0)/IF('RFPR cover'!$C$6="ED1",Data!$E$17,Data!$E$14)</f>
        <v>1.0603167467048125</v>
      </c>
      <c r="D34" s="487">
        <f>INDEX(Data!$E$14:$E$30,MATCH(D$33,Data!$C$14:$C$30,0),0)/IF('RFPR cover'!$C$6="ED1",Data!$E$17,Data!$E$14)</f>
        <v>1.0830366813119445</v>
      </c>
      <c r="E34" s="487">
        <f>INDEX(Data!$E$14:$E$30,MATCH(E$33,Data!$C$14:$C$30,0),0)/IF('RFPR cover'!$C$6="ED1",Data!$E$17,Data!$E$14)</f>
        <v>1.1235639113109226</v>
      </c>
      <c r="F34" s="487">
        <f>INDEX(Data!$E$14:$E$30,MATCH(F$33,Data!$C$14:$C$30,0),0)/IF('RFPR cover'!$C$6="ED1",Data!$E$17,Data!$E$14)</f>
        <v>1.1578951670583426</v>
      </c>
      <c r="G34" s="487">
        <f>INDEX(Data!$E$14:$E$30,MATCH(G$33,Data!$C$14:$C$30,0),0)/IF('RFPR cover'!$C$6="ED1",Data!$E$17,Data!$E$14)</f>
        <v>1.1878696229692449</v>
      </c>
      <c r="H34" s="487">
        <f>INDEX(Data!$E$14:$E$30,MATCH(H$33,Data!$C$14:$C$30,0),0)/IF('RFPR cover'!$C$6="ED1",Data!$E$17,Data!$E$14)</f>
        <v>1.2080634065597218</v>
      </c>
      <c r="I34" s="488">
        <f>INDEX(Data!$E$14:$E$30,MATCH(I$33,Data!$C$14:$C$30,0),0)/IF('RFPR cover'!$C$6="ED1",Data!$E$17,Data!$E$14)</f>
        <v>1.2337347539491161</v>
      </c>
      <c r="J34" s="489">
        <f>INDEX(Data!$E$14:$E$30,MATCH(J$33,Data!$C$14:$C$30,0),0)/IF('RFPR cover'!$C$6="ED1",Data!$E$17,Data!$E$14)</f>
        <v>1.2655034238633056</v>
      </c>
    </row>
    <row r="35" spans="2:13" ht="15.75" customHeight="1">
      <c r="B35" s="493" t="s">
        <v>42</v>
      </c>
      <c r="C35" s="491">
        <f>INDEX(Data!$F$14:$F$30,MATCH(C$33,Data!$C$14:$C$30,0),0)/IF('RFPR cover'!$C$6="ED1",Data!$E$17,Data!$E$14)</f>
        <v>1.0677429242873198</v>
      </c>
      <c r="D35" s="491">
        <f>INDEX(Data!$F$14:$F$30,MATCH(D$33,Data!$C$14:$C$30,0),0)/IF('RFPR cover'!$C$6="ED1",Data!$E$17,Data!$E$14)</f>
        <v>1.1033002963114336</v>
      </c>
      <c r="E35" s="491">
        <f>INDEX(Data!$F$14:$F$30,MATCH(E$33,Data!$C$14:$C$30,0),0)/IF('RFPR cover'!$C$6="ED1",Data!$E$17,Data!$E$14)</f>
        <v>1.1402881373250229</v>
      </c>
      <c r="F35" s="491">
        <f>INDEX(Data!$F$14:$F$30,MATCH(F$33,Data!$C$14:$C$30,0),0)/IF('RFPR cover'!$C$6="ED1",Data!$E$17,Data!$E$14)</f>
        <v>1.171554102380709</v>
      </c>
      <c r="G35" s="491">
        <f>INDEX(Data!$F$14:$F$30,MATCH(G$33,Data!$C$14:$C$30,0),0)/IF('RFPR cover'!$C$6="ED1",Data!$E$17,Data!$E$14)</f>
        <v>1.1958720752017984</v>
      </c>
      <c r="H35" s="491">
        <f>INDEX(Data!$F$14:$F$30,MATCH(H$33,Data!$C$14:$C$30,0),0)/IF('RFPR cover'!$C$6="ED1",Data!$E$17,Data!$E$14)</f>
        <v>1.2162019004802289</v>
      </c>
      <c r="I35" s="491">
        <f>INDEX(Data!$F$14:$F$30,MATCH(I$33,Data!$C$14:$C$30,0),0)/IF('RFPR cover'!$C$6="ED1",Data!$E$17,Data!$E$14)</f>
        <v>1.2420461908654337</v>
      </c>
      <c r="J35" s="491">
        <f>INDEX(Data!$F$14:$F$30,MATCH(J$33,Data!$C$14:$C$30,0),0)/IF('RFPR cover'!$C$6="ED1",Data!$E$17,Data!$E$14)</f>
        <v>1.2740288802802187</v>
      </c>
    </row>
    <row r="36" spans="2:13">
      <c r="B36" s="493" t="s">
        <v>505</v>
      </c>
      <c r="C36" s="491">
        <f>INDEX(Data!$E$14:$E$30,MATCH(C$33,Data!$C$14:$C$30,0))/INDEX(Data!$E$14:$E$30,MATCH(C$33-1,Data!$C$14:$C$30,0))</f>
        <v>1.0107766093810269</v>
      </c>
      <c r="D36" s="491">
        <f>INDEX(Data!$E$14:$E$30,MATCH(D$33,Data!$C$14:$C$30,0))/INDEX(Data!$E$14:$E$30,MATCH(D$33-1,Data!$C$14:$C$30,0))</f>
        <v>1.0214274976583551</v>
      </c>
      <c r="E36" s="491">
        <f>INDEX(Data!$E$14:$E$30,MATCH(E$33,Data!$C$14:$C$30,0))/INDEX(Data!$E$14:$E$30,MATCH(E$33-1,Data!$C$14:$C$30,0))</f>
        <v>1.0374199975848328</v>
      </c>
      <c r="F36" s="491">
        <f>INDEX(Data!$E$14:$E$30,MATCH(F$33,Data!$C$14:$C$30,0))/INDEX(Data!$E$14:$E$30,MATCH(F$33-1,Data!$C$14:$C$30,0))</f>
        <v>1.0305556768082411</v>
      </c>
      <c r="G36" s="491">
        <f>INDEX(Data!$E$14:$E$30,MATCH(G$33,Data!$C$14:$C$30,0))/INDEX(Data!$E$14:$E$30,MATCH(G$33-1,Data!$C$14:$C$30,0))</f>
        <v>1.0258870204865376</v>
      </c>
      <c r="H36" s="491">
        <f>INDEX(Data!$E$14:$E$30,MATCH(H$33,Data!$C$14:$C$30,0))/INDEX(Data!$E$14:$E$30,MATCH(H$33-1,Data!$C$14:$C$30,0))</f>
        <v>1.0169999999999999</v>
      </c>
      <c r="I36" s="491">
        <f>INDEX(Data!$E$14:$E$30,MATCH(I$33,Data!$C$14:$C$30,0))/INDEX(Data!$E$14:$E$30,MATCH(I$33-1,Data!$C$14:$C$30,0))</f>
        <v>1.02125</v>
      </c>
      <c r="J36" s="491">
        <f>INDEX(Data!$E$14:$E$30,MATCH(J$33,Data!$C$14:$C$30,0))/INDEX(Data!$E$14:$E$30,MATCH(J$33-1,Data!$C$14:$C$30,0))</f>
        <v>1.0257499999999999</v>
      </c>
    </row>
    <row r="37" spans="2:13" ht="15.75" customHeight="1">
      <c r="B37" s="14" t="s">
        <v>275</v>
      </c>
      <c r="F37" s="514"/>
    </row>
    <row r="38" spans="2:13">
      <c r="C38" s="507" t="s">
        <v>276</v>
      </c>
      <c r="D38" s="115">
        <v>2017</v>
      </c>
      <c r="E38" s="116">
        <f t="shared" ref="E38:J38" si="2">D38+1</f>
        <v>2018</v>
      </c>
      <c r="F38" s="116">
        <f t="shared" si="2"/>
        <v>2019</v>
      </c>
      <c r="G38" s="116">
        <f t="shared" si="2"/>
        <v>2020</v>
      </c>
      <c r="H38" s="116">
        <f t="shared" si="2"/>
        <v>2021</v>
      </c>
      <c r="I38" s="116">
        <f t="shared" si="2"/>
        <v>2022</v>
      </c>
      <c r="J38" s="193">
        <f t="shared" si="2"/>
        <v>2023</v>
      </c>
      <c r="K38" s="979" t="s">
        <v>385</v>
      </c>
      <c r="L38" s="979"/>
      <c r="M38" s="979"/>
    </row>
    <row r="39" spans="2:13">
      <c r="B39" t="s">
        <v>386</v>
      </c>
      <c r="C39" s="198"/>
      <c r="D39" s="757"/>
      <c r="E39" s="757"/>
      <c r="F39" s="757"/>
      <c r="G39" s="758">
        <v>1.6E-2</v>
      </c>
      <c r="H39" s="758">
        <v>0.02</v>
      </c>
      <c r="I39" s="758">
        <v>2.5000000000000001E-2</v>
      </c>
      <c r="J39" s="759">
        <v>2.8000000000000001E-2</v>
      </c>
      <c r="K39" s="980" t="s">
        <v>635</v>
      </c>
      <c r="L39" s="980"/>
      <c r="M39" s="980"/>
    </row>
    <row r="41" spans="2:13">
      <c r="B41" s="14" t="s">
        <v>277</v>
      </c>
    </row>
    <row r="42" spans="2:13">
      <c r="C42" s="506" t="s">
        <v>278</v>
      </c>
      <c r="D42" s="115">
        <v>2017</v>
      </c>
      <c r="E42" s="116">
        <f t="shared" ref="E42:J42" si="3">D42+1</f>
        <v>2018</v>
      </c>
      <c r="F42" s="116">
        <f t="shared" si="3"/>
        <v>2019</v>
      </c>
      <c r="G42" s="116">
        <f t="shared" si="3"/>
        <v>2020</v>
      </c>
      <c r="H42" s="116">
        <f t="shared" si="3"/>
        <v>2021</v>
      </c>
      <c r="I42" s="116">
        <f t="shared" si="3"/>
        <v>2022</v>
      </c>
      <c r="J42" s="193">
        <f t="shared" si="3"/>
        <v>2023</v>
      </c>
    </row>
    <row r="43" spans="2:13">
      <c r="B43" t="s">
        <v>279</v>
      </c>
      <c r="D43" s="566"/>
      <c r="E43" s="567"/>
      <c r="F43" s="567"/>
      <c r="G43" s="567"/>
      <c r="H43" s="760">
        <f>(G39*0.75)+(H39*0.25)</f>
        <v>1.7000000000000001E-2</v>
      </c>
      <c r="I43" s="760">
        <f>(H39*0.75)+(I39*0.25)</f>
        <v>2.1249999999999998E-2</v>
      </c>
      <c r="J43" s="761">
        <f>(I39*0.75)+(J39*0.25)</f>
        <v>2.5750000000000002E-2</v>
      </c>
    </row>
    <row r="45" spans="2:13">
      <c r="B45" s="312" t="str">
        <f>"Selected Capitalisation rates for "&amp;'RFPR cover'!C5</f>
        <v>Selected Capitalisation rates for WPD-WMID</v>
      </c>
      <c r="C45" s="269"/>
      <c r="D45" s="269"/>
      <c r="E45" s="269"/>
      <c r="F45" s="269"/>
      <c r="G45" s="269"/>
      <c r="H45" s="269"/>
      <c r="I45" s="269"/>
      <c r="J45" s="269"/>
      <c r="K45" s="269"/>
      <c r="L45" s="269"/>
      <c r="M45" s="282"/>
    </row>
    <row r="46" spans="2:13">
      <c r="B46" s="199"/>
      <c r="C46" s="42"/>
      <c r="D46" s="42"/>
      <c r="E46" s="42"/>
      <c r="F46" s="42"/>
      <c r="G46" s="42"/>
      <c r="H46" s="42"/>
      <c r="I46" s="42"/>
      <c r="J46" s="42"/>
      <c r="K46" s="42"/>
      <c r="L46" s="42"/>
      <c r="M46" s="200"/>
    </row>
    <row r="47" spans="2:13">
      <c r="B47" s="199"/>
      <c r="C47" s="311" t="s">
        <v>252</v>
      </c>
      <c r="D47" s="42"/>
      <c r="E47" s="42"/>
      <c r="F47" s="42"/>
      <c r="G47" s="42"/>
      <c r="H47" s="42"/>
      <c r="I47" s="42"/>
      <c r="J47" s="42"/>
      <c r="K47" s="42"/>
      <c r="L47" s="42"/>
      <c r="M47" s="200"/>
    </row>
    <row r="48" spans="2:13">
      <c r="B48" s="314" t="str">
        <f>INDEX($G$54:$G$57,MATCH(LEFT('RFPR cover'!$C$6,2),Data!$E$54:$E$57,0),0)</f>
        <v>Totex</v>
      </c>
      <c r="C48" s="310">
        <f>INDEX($F$73:$F$100,MATCH('RFPR cover'!$C$5,Data!$B$73:$B$100,0),0)</f>
        <v>0.8</v>
      </c>
      <c r="D48" s="42"/>
      <c r="E48" s="42"/>
      <c r="F48" s="42"/>
      <c r="G48" s="42"/>
      <c r="H48" s="42"/>
      <c r="I48" s="42"/>
      <c r="J48" s="42"/>
      <c r="K48" s="42"/>
      <c r="L48" s="42"/>
      <c r="M48" s="200"/>
    </row>
    <row r="49" spans="2:20">
      <c r="B49" s="315"/>
      <c r="C49" s="42"/>
      <c r="D49" s="42"/>
      <c r="E49" s="42"/>
      <c r="F49" s="42"/>
      <c r="G49" s="42"/>
      <c r="H49" s="42"/>
      <c r="I49" s="42"/>
      <c r="J49" s="42"/>
      <c r="K49" s="42"/>
      <c r="L49" s="42"/>
      <c r="M49" s="200"/>
    </row>
    <row r="50" spans="2:20">
      <c r="B50" s="315"/>
      <c r="C50" s="88">
        <v>2014</v>
      </c>
      <c r="D50" s="89">
        <f t="shared" ref="D50:J50" si="4">C50+1</f>
        <v>2015</v>
      </c>
      <c r="E50" s="89">
        <f t="shared" si="4"/>
        <v>2016</v>
      </c>
      <c r="F50" s="89">
        <f t="shared" si="4"/>
        <v>2017</v>
      </c>
      <c r="G50" s="89">
        <f t="shared" si="4"/>
        <v>2018</v>
      </c>
      <c r="H50" s="89">
        <f t="shared" si="4"/>
        <v>2019</v>
      </c>
      <c r="I50" s="89">
        <f t="shared" si="4"/>
        <v>2020</v>
      </c>
      <c r="J50" s="89">
        <f t="shared" si="4"/>
        <v>2021</v>
      </c>
      <c r="K50" s="42"/>
      <c r="L50" s="42"/>
      <c r="M50" s="200"/>
    </row>
    <row r="51" spans="2:20">
      <c r="B51" s="314" t="str">
        <f>INDEX($J$54:$J$57,MATCH(LEFT('RFPR cover'!$C$6,2),Data!$E$54:$E$57,0),0)</f>
        <v>n/a</v>
      </c>
      <c r="C51" s="316">
        <f>IFERROR(INDEX(C$106:C$115,MATCH('RFPR cover'!$C$5,Data!$B$106:$B$115,0),0),0)</f>
        <v>0</v>
      </c>
      <c r="D51" s="298">
        <f>IFERROR(INDEX(D$106:D$115,MATCH('RFPR cover'!$C$5,Data!$B$106:$B$115,0),0),0)</f>
        <v>0</v>
      </c>
      <c r="E51" s="298">
        <f>IFERROR(INDEX(E$106:E$115,MATCH('RFPR cover'!$C$5,Data!$B$106:$B$115,0),0),0)</f>
        <v>0</v>
      </c>
      <c r="F51" s="298">
        <f>IFERROR(INDEX(F$106:F$115,MATCH('RFPR cover'!$C$5,Data!$B$106:$B$115,0),0),0)</f>
        <v>0</v>
      </c>
      <c r="G51" s="298">
        <f>IFERROR(INDEX(G$106:G$115,MATCH('RFPR cover'!$C$5,Data!$B$106:$B$115,0),0),0)</f>
        <v>0</v>
      </c>
      <c r="H51" s="298">
        <f>IFERROR(INDEX(H$106:H$115,MATCH('RFPR cover'!$C$5,Data!$B$106:$B$115,0),0),0)</f>
        <v>0</v>
      </c>
      <c r="I51" s="298">
        <f>IFERROR(INDEX(I$106:I$115,MATCH('RFPR cover'!$C$5,Data!$B$106:$B$115,0),0),0)</f>
        <v>0</v>
      </c>
      <c r="J51" s="298">
        <f>IFERROR(INDEX(J$106:J$115,MATCH('RFPR cover'!$C$5,Data!$B$106:$B$115,0),0),0)</f>
        <v>0</v>
      </c>
      <c r="K51" s="42"/>
      <c r="L51" s="42"/>
      <c r="M51" s="200"/>
    </row>
    <row r="52" spans="2:20">
      <c r="B52" s="292"/>
      <c r="C52" s="293"/>
      <c r="D52" s="293"/>
      <c r="E52" s="293"/>
      <c r="F52" s="293"/>
      <c r="G52" s="293"/>
      <c r="H52" s="293"/>
      <c r="I52" s="293"/>
      <c r="J52" s="293"/>
      <c r="K52" s="293"/>
      <c r="L52" s="293"/>
      <c r="M52" s="294"/>
    </row>
    <row r="53" spans="2:20">
      <c r="B53" s="42"/>
      <c r="C53" s="42"/>
      <c r="D53" s="42"/>
      <c r="E53" s="42"/>
      <c r="F53" s="42"/>
      <c r="G53" s="42"/>
      <c r="H53" s="42"/>
      <c r="I53" s="42"/>
      <c r="J53" s="42"/>
      <c r="K53" s="42"/>
    </row>
    <row r="54" spans="2:20">
      <c r="B54" s="302"/>
      <c r="C54" s="302"/>
      <c r="E54" s="299" t="s">
        <v>172</v>
      </c>
      <c r="F54" s="328" t="s">
        <v>159</v>
      </c>
      <c r="G54" s="984" t="s">
        <v>253</v>
      </c>
      <c r="H54" s="985"/>
      <c r="I54" s="986"/>
      <c r="J54" s="993" t="s">
        <v>255</v>
      </c>
      <c r="K54" s="994"/>
    </row>
    <row r="55" spans="2:20">
      <c r="B55" s="302"/>
      <c r="C55" s="302"/>
      <c r="E55" s="300" t="s">
        <v>174</v>
      </c>
      <c r="F55" s="329" t="s">
        <v>184</v>
      </c>
      <c r="G55" s="987" t="s">
        <v>253</v>
      </c>
      <c r="H55" s="988"/>
      <c r="I55" s="989"/>
      <c r="J55" s="995" t="s">
        <v>255</v>
      </c>
      <c r="K55" s="996"/>
    </row>
    <row r="56" spans="2:20">
      <c r="B56" s="302"/>
      <c r="C56" s="302"/>
      <c r="E56" s="300" t="s">
        <v>173</v>
      </c>
      <c r="F56" s="329" t="s">
        <v>184</v>
      </c>
      <c r="G56" s="987" t="s">
        <v>244</v>
      </c>
      <c r="H56" s="988"/>
      <c r="I56" s="989"/>
      <c r="J56" s="995" t="s">
        <v>245</v>
      </c>
      <c r="K56" s="996"/>
    </row>
    <row r="57" spans="2:20">
      <c r="B57" s="302"/>
      <c r="C57" s="302"/>
      <c r="E57" s="301" t="s">
        <v>175</v>
      </c>
      <c r="F57" s="330" t="s">
        <v>184</v>
      </c>
      <c r="G57" s="990" t="s">
        <v>254</v>
      </c>
      <c r="H57" s="991"/>
      <c r="I57" s="992"/>
      <c r="J57" s="997" t="s">
        <v>256</v>
      </c>
      <c r="K57" s="998"/>
    </row>
    <row r="58" spans="2:20">
      <c r="B58" s="302"/>
      <c r="C58" s="302"/>
      <c r="E58" s="302"/>
      <c r="F58" s="441"/>
      <c r="G58" s="442"/>
      <c r="H58" s="442"/>
      <c r="I58" s="442"/>
      <c r="J58" s="443"/>
      <c r="K58" s="443"/>
    </row>
    <row r="59" spans="2:20">
      <c r="B59" s="444"/>
      <c r="C59" s="444"/>
      <c r="D59" s="215"/>
      <c r="E59" s="444"/>
      <c r="F59" s="445"/>
      <c r="G59" s="446"/>
      <c r="H59" s="446"/>
      <c r="I59" s="446"/>
      <c r="J59" s="447"/>
      <c r="K59" s="447"/>
      <c r="L59" s="215"/>
      <c r="M59" s="215"/>
      <c r="N59" s="215"/>
      <c r="O59" s="215"/>
      <c r="P59" s="215"/>
      <c r="Q59" s="215"/>
      <c r="R59" s="215"/>
      <c r="S59" s="215"/>
      <c r="T59" s="215"/>
    </row>
    <row r="60" spans="2:20" s="31" customFormat="1">
      <c r="B60" s="395"/>
      <c r="C60" s="395"/>
      <c r="E60" s="395"/>
      <c r="F60" s="448"/>
      <c r="G60" s="449"/>
      <c r="H60" s="449"/>
      <c r="I60" s="449"/>
      <c r="J60" s="450"/>
      <c r="K60" s="450"/>
    </row>
    <row r="61" spans="2:20">
      <c r="B61" s="440" t="s">
        <v>351</v>
      </c>
      <c r="I61" s="67"/>
    </row>
    <row r="62" spans="2:20">
      <c r="C62" s="115">
        <v>2014</v>
      </c>
      <c r="D62" s="116">
        <f t="shared" ref="D62:L62" si="5">C62+1</f>
        <v>2015</v>
      </c>
      <c r="E62" s="116">
        <f t="shared" si="5"/>
        <v>2016</v>
      </c>
      <c r="F62" s="116">
        <f t="shared" si="5"/>
        <v>2017</v>
      </c>
      <c r="G62" s="116">
        <f t="shared" si="5"/>
        <v>2018</v>
      </c>
      <c r="H62" s="116">
        <f t="shared" si="5"/>
        <v>2019</v>
      </c>
      <c r="I62" s="116">
        <f t="shared" si="5"/>
        <v>2020</v>
      </c>
      <c r="J62" s="116">
        <f t="shared" si="5"/>
        <v>2021</v>
      </c>
      <c r="K62" s="116">
        <f t="shared" si="5"/>
        <v>2022</v>
      </c>
      <c r="L62" s="193">
        <f t="shared" si="5"/>
        <v>2023</v>
      </c>
    </row>
    <row r="63" spans="2:20">
      <c r="B63" s="437" t="s">
        <v>349</v>
      </c>
      <c r="C63" s="562"/>
      <c r="D63" s="563"/>
      <c r="E63" s="435">
        <v>2.5499999999999998E-2</v>
      </c>
      <c r="F63" s="435">
        <v>2.3799999999999998E-2</v>
      </c>
      <c r="G63" s="435">
        <v>2.2200000000000001E-2</v>
      </c>
      <c r="H63" s="435">
        <v>1.9099999999999999E-2</v>
      </c>
      <c r="I63" s="435">
        <v>1.5800000000000002E-2</v>
      </c>
      <c r="J63" s="435">
        <v>1.09E-2</v>
      </c>
      <c r="K63" s="435">
        <v>7.7000000000000002E-3</v>
      </c>
      <c r="L63" s="436">
        <v>4.5999999999999999E-3</v>
      </c>
    </row>
    <row r="64" spans="2:20">
      <c r="B64" s="438" t="s">
        <v>336</v>
      </c>
      <c r="C64" s="550"/>
      <c r="D64" s="551"/>
      <c r="E64" s="397">
        <v>2.5499999999999998E-2</v>
      </c>
      <c r="F64" s="397">
        <v>2.4199999999999999E-2</v>
      </c>
      <c r="G64" s="397">
        <v>2.29E-2</v>
      </c>
      <c r="H64" s="397">
        <v>2.0899999999999998E-2</v>
      </c>
      <c r="I64" s="397">
        <v>1.9400000000000001E-2</v>
      </c>
      <c r="J64" s="397">
        <v>1.78E-2</v>
      </c>
      <c r="K64" s="397">
        <v>1.6299999999999999E-2</v>
      </c>
      <c r="L64" s="400">
        <v>1.4800000000000001E-2</v>
      </c>
    </row>
    <row r="65" spans="1:20">
      <c r="B65" s="438" t="s">
        <v>61</v>
      </c>
      <c r="C65" s="396">
        <v>2.92E-2</v>
      </c>
      <c r="D65" s="397">
        <v>2.5000000000000001E-2</v>
      </c>
      <c r="E65" s="397">
        <v>2.1499999999999998E-2</v>
      </c>
      <c r="F65" s="397">
        <v>1.7899999999999999E-2</v>
      </c>
      <c r="G65" s="397">
        <v>1.5100000000000001E-2</v>
      </c>
      <c r="H65" s="397">
        <v>1.1599999999999999E-2</v>
      </c>
      <c r="I65" s="397">
        <v>1.0200000000000001E-2</v>
      </c>
      <c r="J65" s="397">
        <v>8.3000000000000001E-3</v>
      </c>
      <c r="K65" s="564"/>
      <c r="L65" s="565"/>
    </row>
    <row r="66" spans="1:20">
      <c r="B66" s="438" t="s">
        <v>350</v>
      </c>
      <c r="C66" s="433">
        <v>2.92E-2</v>
      </c>
      <c r="D66" s="434">
        <v>2.7199999999999998E-2</v>
      </c>
      <c r="E66" s="434">
        <v>2.5499999999999998E-2</v>
      </c>
      <c r="F66" s="434">
        <v>2.3800000000000002E-2</v>
      </c>
      <c r="G66" s="434">
        <v>2.2200000000000001E-2</v>
      </c>
      <c r="H66" s="434">
        <v>1.9099999999999999E-2</v>
      </c>
      <c r="I66" s="434">
        <v>1.5800000000000002E-2</v>
      </c>
      <c r="J66" s="435">
        <v>1.09E-2</v>
      </c>
      <c r="K66" s="551"/>
      <c r="L66" s="552"/>
    </row>
    <row r="67" spans="1:20">
      <c r="B67" s="438" t="s">
        <v>173</v>
      </c>
      <c r="C67" s="396">
        <v>2.92E-2</v>
      </c>
      <c r="D67" s="397">
        <v>2.7199999999999998E-2</v>
      </c>
      <c r="E67" s="397">
        <v>2.5499999999999998E-2</v>
      </c>
      <c r="F67" s="397">
        <v>2.3800000000000002E-2</v>
      </c>
      <c r="G67" s="397">
        <v>2.2200000000000001E-2</v>
      </c>
      <c r="H67" s="434">
        <v>1.9099999999999999E-2</v>
      </c>
      <c r="I67" s="434">
        <v>1.5800000000000002E-2</v>
      </c>
      <c r="J67" s="435">
        <v>1.09E-2</v>
      </c>
      <c r="K67" s="551"/>
      <c r="L67" s="552"/>
    </row>
    <row r="68" spans="1:20">
      <c r="B68" s="439" t="s">
        <v>175</v>
      </c>
      <c r="C68" s="398">
        <v>2.92E-2</v>
      </c>
      <c r="D68" s="399">
        <v>2.7199999999999998E-2</v>
      </c>
      <c r="E68" s="399">
        <v>2.5499999999999998E-2</v>
      </c>
      <c r="F68" s="399">
        <v>2.3800000000000002E-2</v>
      </c>
      <c r="G68" s="399">
        <v>2.2200000000000001E-2</v>
      </c>
      <c r="H68" s="399">
        <v>1.9099999999999999E-2</v>
      </c>
      <c r="I68" s="399">
        <v>1.5800000000000002E-2</v>
      </c>
      <c r="J68" s="435">
        <v>1.09E-2</v>
      </c>
      <c r="K68" s="553"/>
      <c r="L68" s="554"/>
    </row>
    <row r="69" spans="1:20">
      <c r="I69" s="67"/>
    </row>
    <row r="70" spans="1:20">
      <c r="H70" s="67"/>
      <c r="K70" s="42"/>
      <c r="L70" s="42"/>
      <c r="M70" s="42"/>
      <c r="N70" s="42"/>
      <c r="O70" s="42"/>
      <c r="P70" s="42"/>
      <c r="Q70" s="42"/>
      <c r="R70" s="42"/>
      <c r="S70" s="42"/>
      <c r="T70" s="42"/>
    </row>
    <row r="71" spans="1:20" ht="37.799999999999997">
      <c r="B71" s="22"/>
      <c r="C71" s="74" t="s">
        <v>251</v>
      </c>
      <c r="D71" s="75" t="s">
        <v>212</v>
      </c>
      <c r="E71" s="75" t="s">
        <v>72</v>
      </c>
      <c r="F71" s="75" t="s">
        <v>274</v>
      </c>
      <c r="G71" s="75" t="s">
        <v>116</v>
      </c>
      <c r="H71" s="76" t="s">
        <v>186</v>
      </c>
      <c r="I71" s="327" t="s">
        <v>269</v>
      </c>
      <c r="J71" s="327" t="s">
        <v>482</v>
      </c>
      <c r="K71" s="981" t="s">
        <v>345</v>
      </c>
      <c r="L71" s="982"/>
      <c r="M71" s="982"/>
      <c r="N71" s="982"/>
      <c r="O71" s="982"/>
      <c r="P71" s="982"/>
      <c r="Q71" s="982"/>
      <c r="R71" s="982"/>
      <c r="S71" s="982"/>
      <c r="T71" s="983"/>
    </row>
    <row r="72" spans="1:20">
      <c r="A72" s="331" t="s">
        <v>189</v>
      </c>
      <c r="B72" s="68" t="s">
        <v>69</v>
      </c>
      <c r="C72" s="303"/>
      <c r="D72" s="70"/>
      <c r="E72" s="69"/>
      <c r="F72" s="69"/>
      <c r="G72" s="70"/>
      <c r="H72" s="71"/>
      <c r="I72" s="71"/>
      <c r="J72" s="420"/>
      <c r="K72" s="421">
        <v>2014</v>
      </c>
      <c r="L72" s="422">
        <f t="shared" ref="L72:T72" si="6">K72+1</f>
        <v>2015</v>
      </c>
      <c r="M72" s="422">
        <f t="shared" si="6"/>
        <v>2016</v>
      </c>
      <c r="N72" s="422">
        <f t="shared" si="6"/>
        <v>2017</v>
      </c>
      <c r="O72" s="422">
        <f t="shared" si="6"/>
        <v>2018</v>
      </c>
      <c r="P72" s="422">
        <f t="shared" si="6"/>
        <v>2019</v>
      </c>
      <c r="Q72" s="422">
        <f t="shared" si="6"/>
        <v>2020</v>
      </c>
      <c r="R72" s="422">
        <f t="shared" si="6"/>
        <v>2021</v>
      </c>
      <c r="S72" s="422">
        <f t="shared" si="6"/>
        <v>2022</v>
      </c>
      <c r="T72" s="423">
        <f t="shared" si="6"/>
        <v>2023</v>
      </c>
    </row>
    <row r="73" spans="1:20">
      <c r="A73" s="60" t="s">
        <v>172</v>
      </c>
      <c r="B73" s="72" t="s">
        <v>43</v>
      </c>
      <c r="C73" s="304">
        <v>0.06</v>
      </c>
      <c r="D73" s="305">
        <v>0.58109999999999995</v>
      </c>
      <c r="E73" s="306">
        <v>0.65</v>
      </c>
      <c r="F73" s="306">
        <v>0.68</v>
      </c>
      <c r="G73" s="336">
        <v>2016</v>
      </c>
      <c r="H73" s="337" t="str">
        <f t="shared" ref="H73:H97" si="7">VLOOKUP($A73,$E$54:$F$57,2,FALSE)</f>
        <v>£m 12/13</v>
      </c>
      <c r="I73" s="337" t="s">
        <v>270</v>
      </c>
      <c r="J73" s="420" t="s">
        <v>483</v>
      </c>
      <c r="K73" s="550"/>
      <c r="L73" s="551"/>
      <c r="M73" s="428">
        <f t="shared" ref="M73:M82" si="8">E$64</f>
        <v>2.5499999999999998E-2</v>
      </c>
      <c r="N73" s="428">
        <f t="shared" ref="N73:N82" si="9">F$64</f>
        <v>2.4199999999999999E-2</v>
      </c>
      <c r="O73" s="428">
        <f t="shared" ref="O73:O82" si="10">G$64</f>
        <v>2.29E-2</v>
      </c>
      <c r="P73" s="428">
        <f t="shared" ref="P73:P82" si="11">H$64</f>
        <v>2.0899999999999998E-2</v>
      </c>
      <c r="Q73" s="428">
        <f t="shared" ref="Q73:Q82" si="12">I$64</f>
        <v>1.9400000000000001E-2</v>
      </c>
      <c r="R73" s="428">
        <f t="shared" ref="R73:R82" si="13">J$64</f>
        <v>1.78E-2</v>
      </c>
      <c r="S73" s="428">
        <f t="shared" ref="S73:S82" si="14">K$64</f>
        <v>1.6299999999999999E-2</v>
      </c>
      <c r="T73" s="432">
        <f t="shared" ref="T73:T82" si="15">L$64</f>
        <v>1.4800000000000001E-2</v>
      </c>
    </row>
    <row r="74" spans="1:20">
      <c r="A74" s="60" t="s">
        <v>172</v>
      </c>
      <c r="B74" s="72" t="s">
        <v>44</v>
      </c>
      <c r="C74" s="304">
        <v>0.06</v>
      </c>
      <c r="D74" s="305">
        <v>0.55843703457782867</v>
      </c>
      <c r="E74" s="306">
        <v>0.65</v>
      </c>
      <c r="F74" s="306">
        <v>0.7</v>
      </c>
      <c r="G74" s="336">
        <v>2016</v>
      </c>
      <c r="H74" s="337" t="str">
        <f t="shared" si="7"/>
        <v>£m 12/13</v>
      </c>
      <c r="I74" s="337" t="s">
        <v>270</v>
      </c>
      <c r="J74" s="420" t="s">
        <v>483</v>
      </c>
      <c r="K74" s="550"/>
      <c r="L74" s="551"/>
      <c r="M74" s="428">
        <f t="shared" si="8"/>
        <v>2.5499999999999998E-2</v>
      </c>
      <c r="N74" s="428">
        <f t="shared" si="9"/>
        <v>2.4199999999999999E-2</v>
      </c>
      <c r="O74" s="428">
        <f t="shared" si="10"/>
        <v>2.29E-2</v>
      </c>
      <c r="P74" s="428">
        <f t="shared" si="11"/>
        <v>2.0899999999999998E-2</v>
      </c>
      <c r="Q74" s="428">
        <f t="shared" si="12"/>
        <v>1.9400000000000001E-2</v>
      </c>
      <c r="R74" s="428">
        <f t="shared" si="13"/>
        <v>1.78E-2</v>
      </c>
      <c r="S74" s="428">
        <f t="shared" si="14"/>
        <v>1.6299999999999999E-2</v>
      </c>
      <c r="T74" s="432">
        <f t="shared" si="15"/>
        <v>1.4800000000000001E-2</v>
      </c>
    </row>
    <row r="75" spans="1:20">
      <c r="A75" s="60" t="s">
        <v>172</v>
      </c>
      <c r="B75" s="72" t="s">
        <v>73</v>
      </c>
      <c r="C75" s="304">
        <v>0.06</v>
      </c>
      <c r="D75" s="305">
        <v>0.55843703457782867</v>
      </c>
      <c r="E75" s="306">
        <v>0.65</v>
      </c>
      <c r="F75" s="306">
        <v>0.72</v>
      </c>
      <c r="G75" s="336">
        <v>2016</v>
      </c>
      <c r="H75" s="337" t="str">
        <f t="shared" si="7"/>
        <v>£m 12/13</v>
      </c>
      <c r="I75" s="337" t="s">
        <v>270</v>
      </c>
      <c r="J75" s="420" t="s">
        <v>483</v>
      </c>
      <c r="K75" s="550"/>
      <c r="L75" s="551"/>
      <c r="M75" s="428">
        <f t="shared" si="8"/>
        <v>2.5499999999999998E-2</v>
      </c>
      <c r="N75" s="428">
        <f t="shared" si="9"/>
        <v>2.4199999999999999E-2</v>
      </c>
      <c r="O75" s="428">
        <f t="shared" si="10"/>
        <v>2.29E-2</v>
      </c>
      <c r="P75" s="428">
        <f t="shared" si="11"/>
        <v>2.0899999999999998E-2</v>
      </c>
      <c r="Q75" s="428">
        <f t="shared" si="12"/>
        <v>1.9400000000000001E-2</v>
      </c>
      <c r="R75" s="428">
        <f t="shared" si="13"/>
        <v>1.78E-2</v>
      </c>
      <c r="S75" s="428">
        <f t="shared" si="14"/>
        <v>1.6299999999999999E-2</v>
      </c>
      <c r="T75" s="432">
        <f t="shared" si="15"/>
        <v>1.4800000000000001E-2</v>
      </c>
    </row>
    <row r="76" spans="1:20">
      <c r="A76" s="60" t="s">
        <v>172</v>
      </c>
      <c r="B76" s="72" t="s">
        <v>59</v>
      </c>
      <c r="C76" s="304">
        <v>0.06</v>
      </c>
      <c r="D76" s="305">
        <v>0.53280000000000005</v>
      </c>
      <c r="E76" s="306">
        <v>0.65</v>
      </c>
      <c r="F76" s="306">
        <v>0.68</v>
      </c>
      <c r="G76" s="336">
        <v>2016</v>
      </c>
      <c r="H76" s="337" t="str">
        <f t="shared" si="7"/>
        <v>£m 12/13</v>
      </c>
      <c r="I76" s="337" t="s">
        <v>270</v>
      </c>
      <c r="J76" s="420" t="s">
        <v>483</v>
      </c>
      <c r="K76" s="550"/>
      <c r="L76" s="551"/>
      <c r="M76" s="428">
        <f t="shared" si="8"/>
        <v>2.5499999999999998E-2</v>
      </c>
      <c r="N76" s="428">
        <f t="shared" si="9"/>
        <v>2.4199999999999999E-2</v>
      </c>
      <c r="O76" s="428">
        <f t="shared" si="10"/>
        <v>2.29E-2</v>
      </c>
      <c r="P76" s="428">
        <f t="shared" si="11"/>
        <v>2.0899999999999998E-2</v>
      </c>
      <c r="Q76" s="428">
        <f t="shared" si="12"/>
        <v>1.9400000000000001E-2</v>
      </c>
      <c r="R76" s="428">
        <f t="shared" si="13"/>
        <v>1.78E-2</v>
      </c>
      <c r="S76" s="428">
        <f t="shared" si="14"/>
        <v>1.6299999999999999E-2</v>
      </c>
      <c r="T76" s="432">
        <f t="shared" si="15"/>
        <v>1.4800000000000001E-2</v>
      </c>
    </row>
    <row r="77" spans="1:20">
      <c r="A77" s="60" t="s">
        <v>172</v>
      </c>
      <c r="B77" s="72" t="s">
        <v>57</v>
      </c>
      <c r="C77" s="304">
        <v>0.06</v>
      </c>
      <c r="D77" s="305">
        <v>0.53280000000000005</v>
      </c>
      <c r="E77" s="306">
        <v>0.65</v>
      </c>
      <c r="F77" s="306">
        <v>0.68</v>
      </c>
      <c r="G77" s="336">
        <v>2016</v>
      </c>
      <c r="H77" s="337" t="str">
        <f t="shared" si="7"/>
        <v>£m 12/13</v>
      </c>
      <c r="I77" s="337" t="s">
        <v>270</v>
      </c>
      <c r="J77" s="420" t="s">
        <v>483</v>
      </c>
      <c r="K77" s="550"/>
      <c r="L77" s="551"/>
      <c r="M77" s="428">
        <f t="shared" si="8"/>
        <v>2.5499999999999998E-2</v>
      </c>
      <c r="N77" s="428">
        <f t="shared" si="9"/>
        <v>2.4199999999999999E-2</v>
      </c>
      <c r="O77" s="428">
        <f t="shared" si="10"/>
        <v>2.29E-2</v>
      </c>
      <c r="P77" s="428">
        <f t="shared" si="11"/>
        <v>2.0899999999999998E-2</v>
      </c>
      <c r="Q77" s="428">
        <f t="shared" si="12"/>
        <v>1.9400000000000001E-2</v>
      </c>
      <c r="R77" s="428">
        <f t="shared" si="13"/>
        <v>1.78E-2</v>
      </c>
      <c r="S77" s="428">
        <f t="shared" si="14"/>
        <v>1.6299999999999999E-2</v>
      </c>
      <c r="T77" s="432">
        <f t="shared" si="15"/>
        <v>1.4800000000000001E-2</v>
      </c>
    </row>
    <row r="78" spans="1:20">
      <c r="A78" s="60" t="s">
        <v>172</v>
      </c>
      <c r="B78" s="72" t="s">
        <v>58</v>
      </c>
      <c r="C78" s="304">
        <v>0.06</v>
      </c>
      <c r="D78" s="305">
        <v>0.53280000000000005</v>
      </c>
      <c r="E78" s="306">
        <v>0.65</v>
      </c>
      <c r="F78" s="306">
        <v>0.68</v>
      </c>
      <c r="G78" s="336">
        <v>2016</v>
      </c>
      <c r="H78" s="337" t="str">
        <f t="shared" si="7"/>
        <v>£m 12/13</v>
      </c>
      <c r="I78" s="337" t="s">
        <v>270</v>
      </c>
      <c r="J78" s="420" t="s">
        <v>483</v>
      </c>
      <c r="K78" s="550"/>
      <c r="L78" s="551"/>
      <c r="M78" s="428">
        <f t="shared" si="8"/>
        <v>2.5499999999999998E-2</v>
      </c>
      <c r="N78" s="428">
        <f t="shared" si="9"/>
        <v>2.4199999999999999E-2</v>
      </c>
      <c r="O78" s="428">
        <f t="shared" si="10"/>
        <v>2.29E-2</v>
      </c>
      <c r="P78" s="428">
        <f t="shared" si="11"/>
        <v>2.0899999999999998E-2</v>
      </c>
      <c r="Q78" s="428">
        <f t="shared" si="12"/>
        <v>1.9400000000000001E-2</v>
      </c>
      <c r="R78" s="428">
        <f t="shared" si="13"/>
        <v>1.78E-2</v>
      </c>
      <c r="S78" s="428">
        <f t="shared" si="14"/>
        <v>1.6299999999999999E-2</v>
      </c>
      <c r="T78" s="432">
        <f t="shared" si="15"/>
        <v>1.4800000000000001E-2</v>
      </c>
    </row>
    <row r="79" spans="1:20">
      <c r="A79" s="60" t="s">
        <v>172</v>
      </c>
      <c r="B79" s="72" t="s">
        <v>45</v>
      </c>
      <c r="C79" s="304">
        <v>0.06</v>
      </c>
      <c r="D79" s="305">
        <v>0.53500000000000003</v>
      </c>
      <c r="E79" s="306">
        <v>0.65</v>
      </c>
      <c r="F79" s="306">
        <v>0.8</v>
      </c>
      <c r="G79" s="336">
        <v>2016</v>
      </c>
      <c r="H79" s="337" t="str">
        <f t="shared" si="7"/>
        <v>£m 12/13</v>
      </c>
      <c r="I79" s="337" t="s">
        <v>270</v>
      </c>
      <c r="J79" s="420" t="s">
        <v>483</v>
      </c>
      <c r="K79" s="550"/>
      <c r="L79" s="551"/>
      <c r="M79" s="428">
        <f t="shared" si="8"/>
        <v>2.5499999999999998E-2</v>
      </c>
      <c r="N79" s="428">
        <f t="shared" si="9"/>
        <v>2.4199999999999999E-2</v>
      </c>
      <c r="O79" s="428">
        <f t="shared" si="10"/>
        <v>2.29E-2</v>
      </c>
      <c r="P79" s="428">
        <f t="shared" si="11"/>
        <v>2.0899999999999998E-2</v>
      </c>
      <c r="Q79" s="428">
        <f t="shared" si="12"/>
        <v>1.9400000000000001E-2</v>
      </c>
      <c r="R79" s="428">
        <f t="shared" si="13"/>
        <v>1.78E-2</v>
      </c>
      <c r="S79" s="428">
        <f t="shared" si="14"/>
        <v>1.6299999999999999E-2</v>
      </c>
      <c r="T79" s="432">
        <f t="shared" si="15"/>
        <v>1.4800000000000001E-2</v>
      </c>
    </row>
    <row r="80" spans="1:20">
      <c r="A80" s="60" t="s">
        <v>172</v>
      </c>
      <c r="B80" s="72" t="s">
        <v>46</v>
      </c>
      <c r="C80" s="304">
        <v>0.06</v>
      </c>
      <c r="D80" s="305">
        <v>0.53500000000000003</v>
      </c>
      <c r="E80" s="306">
        <v>0.65</v>
      </c>
      <c r="F80" s="306">
        <v>0.8</v>
      </c>
      <c r="G80" s="336">
        <v>2016</v>
      </c>
      <c r="H80" s="337" t="str">
        <f t="shared" si="7"/>
        <v>£m 12/13</v>
      </c>
      <c r="I80" s="337" t="s">
        <v>270</v>
      </c>
      <c r="J80" s="420" t="s">
        <v>483</v>
      </c>
      <c r="K80" s="550"/>
      <c r="L80" s="551"/>
      <c r="M80" s="428">
        <f t="shared" si="8"/>
        <v>2.5499999999999998E-2</v>
      </c>
      <c r="N80" s="428">
        <f t="shared" si="9"/>
        <v>2.4199999999999999E-2</v>
      </c>
      <c r="O80" s="428">
        <f t="shared" si="10"/>
        <v>2.29E-2</v>
      </c>
      <c r="P80" s="428">
        <f t="shared" si="11"/>
        <v>2.0899999999999998E-2</v>
      </c>
      <c r="Q80" s="428">
        <f t="shared" si="12"/>
        <v>1.9400000000000001E-2</v>
      </c>
      <c r="R80" s="428">
        <f t="shared" si="13"/>
        <v>1.78E-2</v>
      </c>
      <c r="S80" s="428">
        <f t="shared" si="14"/>
        <v>1.6299999999999999E-2</v>
      </c>
      <c r="T80" s="432">
        <f t="shared" si="15"/>
        <v>1.4800000000000001E-2</v>
      </c>
    </row>
    <row r="81" spans="1:20">
      <c r="A81" s="60" t="s">
        <v>172</v>
      </c>
      <c r="B81" s="72" t="s">
        <v>47</v>
      </c>
      <c r="C81" s="304">
        <v>0.06</v>
      </c>
      <c r="D81" s="305">
        <v>0.56469999999999998</v>
      </c>
      <c r="E81" s="306">
        <v>0.65</v>
      </c>
      <c r="F81" s="306">
        <v>0.62</v>
      </c>
      <c r="G81" s="336">
        <v>2016</v>
      </c>
      <c r="H81" s="337" t="str">
        <f t="shared" si="7"/>
        <v>£m 12/13</v>
      </c>
      <c r="I81" s="337" t="s">
        <v>270</v>
      </c>
      <c r="J81" s="420" t="s">
        <v>483</v>
      </c>
      <c r="K81" s="550"/>
      <c r="L81" s="551"/>
      <c r="M81" s="428">
        <f t="shared" si="8"/>
        <v>2.5499999999999998E-2</v>
      </c>
      <c r="N81" s="428">
        <f t="shared" si="9"/>
        <v>2.4199999999999999E-2</v>
      </c>
      <c r="O81" s="428">
        <f t="shared" si="10"/>
        <v>2.29E-2</v>
      </c>
      <c r="P81" s="428">
        <f t="shared" si="11"/>
        <v>2.0899999999999998E-2</v>
      </c>
      <c r="Q81" s="428">
        <f t="shared" si="12"/>
        <v>1.9400000000000001E-2</v>
      </c>
      <c r="R81" s="428">
        <f t="shared" si="13"/>
        <v>1.78E-2</v>
      </c>
      <c r="S81" s="428">
        <f t="shared" si="14"/>
        <v>1.6299999999999999E-2</v>
      </c>
      <c r="T81" s="432">
        <f t="shared" si="15"/>
        <v>1.4800000000000001E-2</v>
      </c>
    </row>
    <row r="82" spans="1:20">
      <c r="A82" s="60" t="s">
        <v>172</v>
      </c>
      <c r="B82" s="72" t="s">
        <v>48</v>
      </c>
      <c r="C82" s="304">
        <v>0.06</v>
      </c>
      <c r="D82" s="305">
        <v>0.56469999999999998</v>
      </c>
      <c r="E82" s="306">
        <v>0.65</v>
      </c>
      <c r="F82" s="306">
        <v>0.7</v>
      </c>
      <c r="G82" s="336">
        <v>2016</v>
      </c>
      <c r="H82" s="337" t="str">
        <f t="shared" si="7"/>
        <v>£m 12/13</v>
      </c>
      <c r="I82" s="337" t="s">
        <v>270</v>
      </c>
      <c r="J82" s="420" t="s">
        <v>483</v>
      </c>
      <c r="K82" s="550"/>
      <c r="L82" s="551"/>
      <c r="M82" s="428">
        <f t="shared" si="8"/>
        <v>2.5499999999999998E-2</v>
      </c>
      <c r="N82" s="428">
        <f t="shared" si="9"/>
        <v>2.4199999999999999E-2</v>
      </c>
      <c r="O82" s="428">
        <f t="shared" si="10"/>
        <v>2.29E-2</v>
      </c>
      <c r="P82" s="428">
        <f t="shared" si="11"/>
        <v>2.0899999999999998E-2</v>
      </c>
      <c r="Q82" s="428">
        <f t="shared" si="12"/>
        <v>1.9400000000000001E-2</v>
      </c>
      <c r="R82" s="428">
        <f t="shared" si="13"/>
        <v>1.78E-2</v>
      </c>
      <c r="S82" s="428">
        <f t="shared" si="14"/>
        <v>1.6299999999999999E-2</v>
      </c>
      <c r="T82" s="432">
        <f t="shared" si="15"/>
        <v>1.4800000000000001E-2</v>
      </c>
    </row>
    <row r="83" spans="1:20">
      <c r="A83" s="60" t="s">
        <v>172</v>
      </c>
      <c r="B83" s="72" t="s">
        <v>246</v>
      </c>
      <c r="C83" s="304">
        <v>6.4000000000000001E-2</v>
      </c>
      <c r="D83" s="305">
        <v>0.7</v>
      </c>
      <c r="E83" s="306">
        <v>0.65</v>
      </c>
      <c r="F83" s="306">
        <v>0.8</v>
      </c>
      <c r="G83" s="336">
        <v>2016</v>
      </c>
      <c r="H83" s="337" t="str">
        <f t="shared" si="7"/>
        <v>£m 12/13</v>
      </c>
      <c r="I83" s="337" t="s">
        <v>271</v>
      </c>
      <c r="J83" s="420" t="s">
        <v>484</v>
      </c>
      <c r="K83" s="550"/>
      <c r="L83" s="551"/>
      <c r="M83" s="428">
        <f t="shared" ref="M83:T86" si="16">E$63</f>
        <v>2.5499999999999998E-2</v>
      </c>
      <c r="N83" s="428">
        <f t="shared" si="16"/>
        <v>2.3799999999999998E-2</v>
      </c>
      <c r="O83" s="428">
        <f t="shared" si="16"/>
        <v>2.2200000000000001E-2</v>
      </c>
      <c r="P83" s="428">
        <f t="shared" si="16"/>
        <v>1.9099999999999999E-2</v>
      </c>
      <c r="Q83" s="428">
        <f t="shared" si="16"/>
        <v>1.5800000000000002E-2</v>
      </c>
      <c r="R83" s="428">
        <f t="shared" si="16"/>
        <v>1.09E-2</v>
      </c>
      <c r="S83" s="428">
        <f t="shared" si="16"/>
        <v>7.7000000000000002E-3</v>
      </c>
      <c r="T83" s="432">
        <f t="shared" si="16"/>
        <v>4.5999999999999999E-3</v>
      </c>
    </row>
    <row r="84" spans="1:20">
      <c r="A84" s="60" t="s">
        <v>172</v>
      </c>
      <c r="B84" s="72" t="s">
        <v>247</v>
      </c>
      <c r="C84" s="304">
        <v>6.4000000000000001E-2</v>
      </c>
      <c r="D84" s="305">
        <v>0.7</v>
      </c>
      <c r="E84" s="306">
        <v>0.65</v>
      </c>
      <c r="F84" s="306">
        <v>0.8</v>
      </c>
      <c r="G84" s="336">
        <v>2016</v>
      </c>
      <c r="H84" s="337" t="str">
        <f t="shared" si="7"/>
        <v>£m 12/13</v>
      </c>
      <c r="I84" s="337" t="s">
        <v>271</v>
      </c>
      <c r="J84" s="420" t="s">
        <v>484</v>
      </c>
      <c r="K84" s="550"/>
      <c r="L84" s="551"/>
      <c r="M84" s="428">
        <f t="shared" si="16"/>
        <v>2.5499999999999998E-2</v>
      </c>
      <c r="N84" s="428">
        <f t="shared" si="16"/>
        <v>2.3799999999999998E-2</v>
      </c>
      <c r="O84" s="428">
        <f t="shared" si="16"/>
        <v>2.2200000000000001E-2</v>
      </c>
      <c r="P84" s="428">
        <f t="shared" si="16"/>
        <v>1.9099999999999999E-2</v>
      </c>
      <c r="Q84" s="428">
        <f t="shared" si="16"/>
        <v>1.5800000000000002E-2</v>
      </c>
      <c r="R84" s="428">
        <f t="shared" si="16"/>
        <v>1.09E-2</v>
      </c>
      <c r="S84" s="428">
        <f t="shared" si="16"/>
        <v>7.7000000000000002E-3</v>
      </c>
      <c r="T84" s="432">
        <f t="shared" si="16"/>
        <v>4.5999999999999999E-3</v>
      </c>
    </row>
    <row r="85" spans="1:20">
      <c r="A85" s="60" t="s">
        <v>172</v>
      </c>
      <c r="B85" s="72" t="s">
        <v>248</v>
      </c>
      <c r="C85" s="304">
        <v>6.4000000000000001E-2</v>
      </c>
      <c r="D85" s="305">
        <v>0.7</v>
      </c>
      <c r="E85" s="306">
        <v>0.65</v>
      </c>
      <c r="F85" s="306">
        <v>0.8</v>
      </c>
      <c r="G85" s="336">
        <v>2016</v>
      </c>
      <c r="H85" s="337" t="str">
        <f t="shared" si="7"/>
        <v>£m 12/13</v>
      </c>
      <c r="I85" s="337" t="s">
        <v>271</v>
      </c>
      <c r="J85" s="420" t="s">
        <v>484</v>
      </c>
      <c r="K85" s="550"/>
      <c r="L85" s="551"/>
      <c r="M85" s="428">
        <f t="shared" si="16"/>
        <v>2.5499999999999998E-2</v>
      </c>
      <c r="N85" s="428">
        <f t="shared" si="16"/>
        <v>2.3799999999999998E-2</v>
      </c>
      <c r="O85" s="428">
        <f t="shared" si="16"/>
        <v>2.2200000000000001E-2</v>
      </c>
      <c r="P85" s="428">
        <f t="shared" si="16"/>
        <v>1.9099999999999999E-2</v>
      </c>
      <c r="Q85" s="428">
        <f t="shared" si="16"/>
        <v>1.5800000000000002E-2</v>
      </c>
      <c r="R85" s="428">
        <f t="shared" si="16"/>
        <v>1.09E-2</v>
      </c>
      <c r="S85" s="428">
        <f t="shared" si="16"/>
        <v>7.7000000000000002E-3</v>
      </c>
      <c r="T85" s="432">
        <f t="shared" si="16"/>
        <v>4.5999999999999999E-3</v>
      </c>
    </row>
    <row r="86" spans="1:20">
      <c r="A86" s="60" t="s">
        <v>172</v>
      </c>
      <c r="B86" s="72" t="s">
        <v>249</v>
      </c>
      <c r="C86" s="304">
        <v>6.4000000000000001E-2</v>
      </c>
      <c r="D86" s="305">
        <v>0.7</v>
      </c>
      <c r="E86" s="306">
        <v>0.65</v>
      </c>
      <c r="F86" s="306">
        <v>0.8</v>
      </c>
      <c r="G86" s="336">
        <v>2016</v>
      </c>
      <c r="H86" s="337" t="str">
        <f t="shared" si="7"/>
        <v>£m 12/13</v>
      </c>
      <c r="I86" s="337" t="s">
        <v>271</v>
      </c>
      <c r="J86" s="420" t="s">
        <v>484</v>
      </c>
      <c r="K86" s="550"/>
      <c r="L86" s="551"/>
      <c r="M86" s="428">
        <f t="shared" si="16"/>
        <v>2.5499999999999998E-2</v>
      </c>
      <c r="N86" s="428">
        <f t="shared" si="16"/>
        <v>2.3799999999999998E-2</v>
      </c>
      <c r="O86" s="428">
        <f t="shared" si="16"/>
        <v>2.2200000000000001E-2</v>
      </c>
      <c r="P86" s="428">
        <f t="shared" si="16"/>
        <v>1.9099999999999999E-2</v>
      </c>
      <c r="Q86" s="428">
        <f t="shared" si="16"/>
        <v>1.5800000000000002E-2</v>
      </c>
      <c r="R86" s="428">
        <f t="shared" si="16"/>
        <v>1.09E-2</v>
      </c>
      <c r="S86" s="428">
        <f t="shared" si="16"/>
        <v>7.7000000000000002E-3</v>
      </c>
      <c r="T86" s="432">
        <f t="shared" si="16"/>
        <v>4.5999999999999999E-3</v>
      </c>
    </row>
    <row r="87" spans="1:20">
      <c r="A87" s="60" t="s">
        <v>173</v>
      </c>
      <c r="B87" s="72" t="s">
        <v>53</v>
      </c>
      <c r="C87" s="304">
        <v>6.7000000000000004E-2</v>
      </c>
      <c r="D87" s="305">
        <v>0.63039999999999996</v>
      </c>
      <c r="E87" s="306">
        <v>0.65</v>
      </c>
      <c r="F87" s="306">
        <v>0.26634501855794862</v>
      </c>
      <c r="G87" s="336">
        <v>2014</v>
      </c>
      <c r="H87" s="337" t="str">
        <f t="shared" si="7"/>
        <v>£m 09/10</v>
      </c>
      <c r="I87" s="337" t="s">
        <v>270</v>
      </c>
      <c r="J87" s="420" t="s">
        <v>484</v>
      </c>
      <c r="K87" s="430">
        <f t="shared" ref="K87:R94" si="17">C$67</f>
        <v>2.92E-2</v>
      </c>
      <c r="L87" s="428">
        <f t="shared" si="17"/>
        <v>2.7199999999999998E-2</v>
      </c>
      <c r="M87" s="428">
        <f t="shared" si="17"/>
        <v>2.5499999999999998E-2</v>
      </c>
      <c r="N87" s="428">
        <f t="shared" si="17"/>
        <v>2.3800000000000002E-2</v>
      </c>
      <c r="O87" s="428">
        <f t="shared" si="17"/>
        <v>2.2200000000000001E-2</v>
      </c>
      <c r="P87" s="428">
        <f t="shared" si="17"/>
        <v>1.9099999999999999E-2</v>
      </c>
      <c r="Q87" s="428">
        <f t="shared" si="17"/>
        <v>1.5800000000000002E-2</v>
      </c>
      <c r="R87" s="428">
        <f t="shared" si="17"/>
        <v>1.09E-2</v>
      </c>
      <c r="S87" s="551"/>
      <c r="T87" s="552"/>
    </row>
    <row r="88" spans="1:20">
      <c r="A88" s="60" t="s">
        <v>173</v>
      </c>
      <c r="B88" s="72" t="s">
        <v>54</v>
      </c>
      <c r="C88" s="304">
        <v>6.7000000000000004E-2</v>
      </c>
      <c r="D88" s="305">
        <v>0.63039999999999996</v>
      </c>
      <c r="E88" s="306">
        <v>0.65</v>
      </c>
      <c r="F88" s="306">
        <v>0.23469337831705597</v>
      </c>
      <c r="G88" s="336">
        <v>2014</v>
      </c>
      <c r="H88" s="337" t="str">
        <f t="shared" si="7"/>
        <v>£m 09/10</v>
      </c>
      <c r="I88" s="337" t="s">
        <v>270</v>
      </c>
      <c r="J88" s="420" t="s">
        <v>484</v>
      </c>
      <c r="K88" s="430">
        <f t="shared" si="17"/>
        <v>2.92E-2</v>
      </c>
      <c r="L88" s="428">
        <f t="shared" si="17"/>
        <v>2.7199999999999998E-2</v>
      </c>
      <c r="M88" s="428">
        <f t="shared" si="17"/>
        <v>2.5499999999999998E-2</v>
      </c>
      <c r="N88" s="428">
        <f t="shared" si="17"/>
        <v>2.3800000000000002E-2</v>
      </c>
      <c r="O88" s="428">
        <f t="shared" si="17"/>
        <v>2.2200000000000001E-2</v>
      </c>
      <c r="P88" s="428">
        <f t="shared" si="17"/>
        <v>1.9099999999999999E-2</v>
      </c>
      <c r="Q88" s="428">
        <f t="shared" si="17"/>
        <v>1.5800000000000002E-2</v>
      </c>
      <c r="R88" s="428">
        <f t="shared" si="17"/>
        <v>1.09E-2</v>
      </c>
      <c r="S88" s="551"/>
      <c r="T88" s="552"/>
    </row>
    <row r="89" spans="1:20">
      <c r="A89" s="60" t="s">
        <v>173</v>
      </c>
      <c r="B89" s="72" t="s">
        <v>55</v>
      </c>
      <c r="C89" s="304">
        <v>6.7000000000000004E-2</v>
      </c>
      <c r="D89" s="305">
        <v>0.63039999999999996</v>
      </c>
      <c r="E89" s="306">
        <v>0.65</v>
      </c>
      <c r="F89" s="306">
        <v>0.24946223864843597</v>
      </c>
      <c r="G89" s="336">
        <v>2014</v>
      </c>
      <c r="H89" s="337" t="str">
        <f t="shared" si="7"/>
        <v>£m 09/10</v>
      </c>
      <c r="I89" s="337" t="s">
        <v>270</v>
      </c>
      <c r="J89" s="420" t="s">
        <v>484</v>
      </c>
      <c r="K89" s="430">
        <f t="shared" si="17"/>
        <v>2.92E-2</v>
      </c>
      <c r="L89" s="428">
        <f t="shared" si="17"/>
        <v>2.7199999999999998E-2</v>
      </c>
      <c r="M89" s="428">
        <f t="shared" si="17"/>
        <v>2.5499999999999998E-2</v>
      </c>
      <c r="N89" s="428">
        <f t="shared" si="17"/>
        <v>2.3800000000000002E-2</v>
      </c>
      <c r="O89" s="428">
        <f t="shared" si="17"/>
        <v>2.2200000000000001E-2</v>
      </c>
      <c r="P89" s="428">
        <f t="shared" si="17"/>
        <v>1.9099999999999999E-2</v>
      </c>
      <c r="Q89" s="428">
        <f t="shared" si="17"/>
        <v>1.5800000000000002E-2</v>
      </c>
      <c r="R89" s="428">
        <f t="shared" si="17"/>
        <v>1.09E-2</v>
      </c>
      <c r="S89" s="551"/>
      <c r="T89" s="552"/>
    </row>
    <row r="90" spans="1:20">
      <c r="A90" s="60" t="s">
        <v>173</v>
      </c>
      <c r="B90" s="72" t="s">
        <v>56</v>
      </c>
      <c r="C90" s="304">
        <v>6.7000000000000004E-2</v>
      </c>
      <c r="D90" s="305">
        <v>0.63039999999999996</v>
      </c>
      <c r="E90" s="306">
        <v>0.65</v>
      </c>
      <c r="F90" s="306">
        <v>0.26095352485819256</v>
      </c>
      <c r="G90" s="336">
        <v>2014</v>
      </c>
      <c r="H90" s="337" t="str">
        <f t="shared" si="7"/>
        <v>£m 09/10</v>
      </c>
      <c r="I90" s="337" t="s">
        <v>270</v>
      </c>
      <c r="J90" s="420" t="s">
        <v>484</v>
      </c>
      <c r="K90" s="430">
        <f t="shared" si="17"/>
        <v>2.92E-2</v>
      </c>
      <c r="L90" s="428">
        <f t="shared" si="17"/>
        <v>2.7199999999999998E-2</v>
      </c>
      <c r="M90" s="428">
        <f t="shared" si="17"/>
        <v>2.5499999999999998E-2</v>
      </c>
      <c r="N90" s="428">
        <f t="shared" si="17"/>
        <v>2.3800000000000002E-2</v>
      </c>
      <c r="O90" s="428">
        <f t="shared" si="17"/>
        <v>2.2200000000000001E-2</v>
      </c>
      <c r="P90" s="428">
        <f t="shared" si="17"/>
        <v>1.9099999999999999E-2</v>
      </c>
      <c r="Q90" s="428">
        <f t="shared" si="17"/>
        <v>1.5800000000000002E-2</v>
      </c>
      <c r="R90" s="428">
        <f t="shared" si="17"/>
        <v>1.09E-2</v>
      </c>
      <c r="S90" s="551"/>
      <c r="T90" s="552"/>
    </row>
    <row r="91" spans="1:20">
      <c r="A91" s="60" t="s">
        <v>173</v>
      </c>
      <c r="B91" s="72" t="s">
        <v>50</v>
      </c>
      <c r="C91" s="304">
        <v>6.7000000000000004E-2</v>
      </c>
      <c r="D91" s="305">
        <v>0.63980000000000004</v>
      </c>
      <c r="E91" s="306">
        <v>0.65</v>
      </c>
      <c r="F91" s="306">
        <v>0.34984411379298247</v>
      </c>
      <c r="G91" s="336">
        <v>2014</v>
      </c>
      <c r="H91" s="337" t="str">
        <f t="shared" si="7"/>
        <v>£m 09/10</v>
      </c>
      <c r="I91" s="337" t="s">
        <v>270</v>
      </c>
      <c r="J91" s="420" t="s">
        <v>484</v>
      </c>
      <c r="K91" s="430">
        <f t="shared" si="17"/>
        <v>2.92E-2</v>
      </c>
      <c r="L91" s="428">
        <f t="shared" si="17"/>
        <v>2.7199999999999998E-2</v>
      </c>
      <c r="M91" s="428">
        <f t="shared" si="17"/>
        <v>2.5499999999999998E-2</v>
      </c>
      <c r="N91" s="428">
        <f t="shared" si="17"/>
        <v>2.3800000000000002E-2</v>
      </c>
      <c r="O91" s="428">
        <f t="shared" si="17"/>
        <v>2.2200000000000001E-2</v>
      </c>
      <c r="P91" s="428">
        <f t="shared" si="17"/>
        <v>1.9099999999999999E-2</v>
      </c>
      <c r="Q91" s="428">
        <f t="shared" si="17"/>
        <v>1.5800000000000002E-2</v>
      </c>
      <c r="R91" s="428">
        <f t="shared" si="17"/>
        <v>1.09E-2</v>
      </c>
      <c r="S91" s="551"/>
      <c r="T91" s="552"/>
    </row>
    <row r="92" spans="1:20">
      <c r="A92" s="60" t="s">
        <v>173</v>
      </c>
      <c r="B92" s="72" t="s">
        <v>52</v>
      </c>
      <c r="C92" s="304">
        <v>6.7000000000000004E-2</v>
      </c>
      <c r="D92" s="305">
        <v>0.63729999999999998</v>
      </c>
      <c r="E92" s="306">
        <v>0.65</v>
      </c>
      <c r="F92" s="306">
        <v>0.35129049661183626</v>
      </c>
      <c r="G92" s="336">
        <v>2014</v>
      </c>
      <c r="H92" s="337" t="str">
        <f t="shared" si="7"/>
        <v>£m 09/10</v>
      </c>
      <c r="I92" s="337" t="s">
        <v>270</v>
      </c>
      <c r="J92" s="420" t="s">
        <v>484</v>
      </c>
      <c r="K92" s="430">
        <f t="shared" si="17"/>
        <v>2.92E-2</v>
      </c>
      <c r="L92" s="428">
        <f t="shared" si="17"/>
        <v>2.7199999999999998E-2</v>
      </c>
      <c r="M92" s="428">
        <f t="shared" si="17"/>
        <v>2.5499999999999998E-2</v>
      </c>
      <c r="N92" s="428">
        <f t="shared" si="17"/>
        <v>2.3800000000000002E-2</v>
      </c>
      <c r="O92" s="428">
        <f t="shared" si="17"/>
        <v>2.2200000000000001E-2</v>
      </c>
      <c r="P92" s="428">
        <f t="shared" si="17"/>
        <v>1.9099999999999999E-2</v>
      </c>
      <c r="Q92" s="428">
        <f t="shared" si="17"/>
        <v>1.5800000000000002E-2</v>
      </c>
      <c r="R92" s="428">
        <f t="shared" si="17"/>
        <v>1.09E-2</v>
      </c>
      <c r="S92" s="551"/>
      <c r="T92" s="552"/>
    </row>
    <row r="93" spans="1:20">
      <c r="A93" s="60" t="s">
        <v>173</v>
      </c>
      <c r="B93" s="72" t="s">
        <v>51</v>
      </c>
      <c r="C93" s="304">
        <v>6.7000000000000004E-2</v>
      </c>
      <c r="D93" s="305">
        <v>0.63729999999999998</v>
      </c>
      <c r="E93" s="306">
        <v>0.65</v>
      </c>
      <c r="F93" s="306">
        <v>0.32230855902021693</v>
      </c>
      <c r="G93" s="336">
        <v>2014</v>
      </c>
      <c r="H93" s="337" t="str">
        <f t="shared" si="7"/>
        <v>£m 09/10</v>
      </c>
      <c r="I93" s="337" t="s">
        <v>270</v>
      </c>
      <c r="J93" s="420" t="s">
        <v>484</v>
      </c>
      <c r="K93" s="430">
        <f t="shared" si="17"/>
        <v>2.92E-2</v>
      </c>
      <c r="L93" s="428">
        <f t="shared" si="17"/>
        <v>2.7199999999999998E-2</v>
      </c>
      <c r="M93" s="428">
        <f t="shared" si="17"/>
        <v>2.5499999999999998E-2</v>
      </c>
      <c r="N93" s="428">
        <f t="shared" si="17"/>
        <v>2.3800000000000002E-2</v>
      </c>
      <c r="O93" s="428">
        <f t="shared" si="17"/>
        <v>2.2200000000000001E-2</v>
      </c>
      <c r="P93" s="428">
        <f t="shared" si="17"/>
        <v>1.9099999999999999E-2</v>
      </c>
      <c r="Q93" s="428">
        <f t="shared" si="17"/>
        <v>1.5800000000000002E-2</v>
      </c>
      <c r="R93" s="428">
        <f t="shared" si="17"/>
        <v>1.09E-2</v>
      </c>
      <c r="S93" s="551"/>
      <c r="T93" s="552"/>
    </row>
    <row r="94" spans="1:20">
      <c r="A94" s="60" t="s">
        <v>173</v>
      </c>
      <c r="B94" s="72" t="s">
        <v>49</v>
      </c>
      <c r="C94" s="304">
        <v>6.7000000000000004E-2</v>
      </c>
      <c r="D94" s="305">
        <v>0.63170000000000004</v>
      </c>
      <c r="E94" s="306">
        <v>0.65</v>
      </c>
      <c r="F94" s="306">
        <v>0.35781904469402892</v>
      </c>
      <c r="G94" s="336">
        <v>2014</v>
      </c>
      <c r="H94" s="337" t="str">
        <f t="shared" si="7"/>
        <v>£m 09/10</v>
      </c>
      <c r="I94" s="337" t="s">
        <v>270</v>
      </c>
      <c r="J94" s="420" t="s">
        <v>484</v>
      </c>
      <c r="K94" s="430">
        <f t="shared" si="17"/>
        <v>2.92E-2</v>
      </c>
      <c r="L94" s="428">
        <f t="shared" si="17"/>
        <v>2.7199999999999998E-2</v>
      </c>
      <c r="M94" s="428">
        <f t="shared" si="17"/>
        <v>2.5499999999999998E-2</v>
      </c>
      <c r="N94" s="428">
        <f t="shared" si="17"/>
        <v>2.3800000000000002E-2</v>
      </c>
      <c r="O94" s="428">
        <f t="shared" si="17"/>
        <v>2.2200000000000001E-2</v>
      </c>
      <c r="P94" s="428">
        <f t="shared" si="17"/>
        <v>1.9099999999999999E-2</v>
      </c>
      <c r="Q94" s="428">
        <f t="shared" si="17"/>
        <v>1.5800000000000002E-2</v>
      </c>
      <c r="R94" s="428">
        <f t="shared" si="17"/>
        <v>1.09E-2</v>
      </c>
      <c r="S94" s="551"/>
      <c r="T94" s="552"/>
    </row>
    <row r="95" spans="1:20">
      <c r="A95" s="60" t="s">
        <v>175</v>
      </c>
      <c r="B95" s="72" t="s">
        <v>113</v>
      </c>
      <c r="C95" s="304">
        <v>6.8000000000000005E-2</v>
      </c>
      <c r="D95" s="305">
        <v>0.44359999999999999</v>
      </c>
      <c r="E95" s="306">
        <v>0.625</v>
      </c>
      <c r="F95" s="306">
        <v>0.64400000000000002</v>
      </c>
      <c r="G95" s="336">
        <v>2014</v>
      </c>
      <c r="H95" s="337" t="str">
        <f t="shared" si="7"/>
        <v>£m 09/10</v>
      </c>
      <c r="I95" s="337" t="s">
        <v>270</v>
      </c>
      <c r="J95" s="420" t="s">
        <v>484</v>
      </c>
      <c r="K95" s="430">
        <f t="shared" ref="K95:R96" si="18">C$68</f>
        <v>2.92E-2</v>
      </c>
      <c r="L95" s="428">
        <f t="shared" si="18"/>
        <v>2.7199999999999998E-2</v>
      </c>
      <c r="M95" s="428">
        <f t="shared" si="18"/>
        <v>2.5499999999999998E-2</v>
      </c>
      <c r="N95" s="428">
        <f t="shared" si="18"/>
        <v>2.3800000000000002E-2</v>
      </c>
      <c r="O95" s="428">
        <f t="shared" si="18"/>
        <v>2.2200000000000001E-2</v>
      </c>
      <c r="P95" s="428">
        <f t="shared" si="18"/>
        <v>1.9099999999999999E-2</v>
      </c>
      <c r="Q95" s="428">
        <f t="shared" si="18"/>
        <v>1.5800000000000002E-2</v>
      </c>
      <c r="R95" s="428">
        <f t="shared" si="18"/>
        <v>1.09E-2</v>
      </c>
      <c r="S95" s="551"/>
      <c r="T95" s="552"/>
    </row>
    <row r="96" spans="1:20">
      <c r="A96" s="60" t="s">
        <v>175</v>
      </c>
      <c r="B96" s="72" t="s">
        <v>114</v>
      </c>
      <c r="C96" s="304">
        <v>6.8000000000000005E-2</v>
      </c>
      <c r="D96" s="305">
        <v>0.44359999999999999</v>
      </c>
      <c r="E96" s="306">
        <v>0.625</v>
      </c>
      <c r="F96" s="306">
        <v>0.374</v>
      </c>
      <c r="G96" s="336">
        <v>2014</v>
      </c>
      <c r="H96" s="337" t="str">
        <f t="shared" si="7"/>
        <v>£m 09/10</v>
      </c>
      <c r="I96" s="337" t="s">
        <v>270</v>
      </c>
      <c r="J96" s="420" t="s">
        <v>484</v>
      </c>
      <c r="K96" s="430">
        <f t="shared" si="18"/>
        <v>2.92E-2</v>
      </c>
      <c r="L96" s="428">
        <f t="shared" si="18"/>
        <v>2.7199999999999998E-2</v>
      </c>
      <c r="M96" s="428">
        <f t="shared" si="18"/>
        <v>2.5499999999999998E-2</v>
      </c>
      <c r="N96" s="428">
        <f t="shared" si="18"/>
        <v>2.3800000000000002E-2</v>
      </c>
      <c r="O96" s="428">
        <f t="shared" si="18"/>
        <v>2.2200000000000001E-2</v>
      </c>
      <c r="P96" s="428">
        <f t="shared" si="18"/>
        <v>1.9099999999999999E-2</v>
      </c>
      <c r="Q96" s="428">
        <f t="shared" si="18"/>
        <v>1.5800000000000002E-2</v>
      </c>
      <c r="R96" s="428">
        <f t="shared" si="18"/>
        <v>1.09E-2</v>
      </c>
      <c r="S96" s="551"/>
      <c r="T96" s="552"/>
    </row>
    <row r="97" spans="1:20">
      <c r="A97" s="60" t="s">
        <v>174</v>
      </c>
      <c r="B97" s="72" t="s">
        <v>111</v>
      </c>
      <c r="C97" s="304">
        <v>7.0000000000000007E-2</v>
      </c>
      <c r="D97" s="305">
        <v>0.46889999999999998</v>
      </c>
      <c r="E97" s="306">
        <v>0.6</v>
      </c>
      <c r="F97" s="306">
        <v>0.85</v>
      </c>
      <c r="G97" s="336">
        <v>2014</v>
      </c>
      <c r="H97" s="337" t="str">
        <f t="shared" si="7"/>
        <v>£m 09/10</v>
      </c>
      <c r="I97" s="337" t="s">
        <v>270</v>
      </c>
      <c r="J97" s="420" t="s">
        <v>484</v>
      </c>
      <c r="K97" s="430">
        <f t="shared" ref="K97:R99" si="19">C$66</f>
        <v>2.92E-2</v>
      </c>
      <c r="L97" s="428">
        <f t="shared" si="19"/>
        <v>2.7199999999999998E-2</v>
      </c>
      <c r="M97" s="428">
        <f t="shared" si="19"/>
        <v>2.5499999999999998E-2</v>
      </c>
      <c r="N97" s="428">
        <f t="shared" si="19"/>
        <v>2.3800000000000002E-2</v>
      </c>
      <c r="O97" s="428">
        <f t="shared" si="19"/>
        <v>2.2200000000000001E-2</v>
      </c>
      <c r="P97" s="428">
        <f t="shared" si="19"/>
        <v>1.9099999999999999E-2</v>
      </c>
      <c r="Q97" s="428">
        <f t="shared" si="19"/>
        <v>1.5800000000000002E-2</v>
      </c>
      <c r="R97" s="428">
        <f t="shared" si="19"/>
        <v>1.09E-2</v>
      </c>
      <c r="S97" s="551"/>
      <c r="T97" s="552"/>
    </row>
    <row r="98" spans="1:20">
      <c r="A98" s="60" t="s">
        <v>174</v>
      </c>
      <c r="B98" s="72" t="s">
        <v>112</v>
      </c>
      <c r="C98" s="304">
        <v>7.0000000000000007E-2</v>
      </c>
      <c r="D98" s="305">
        <v>0.46889999999999998</v>
      </c>
      <c r="E98" s="306">
        <v>0.6</v>
      </c>
      <c r="F98" s="306">
        <v>0.27900000000000003</v>
      </c>
      <c r="G98" s="323">
        <v>2014</v>
      </c>
      <c r="H98" s="324" t="str">
        <f>VLOOKUP($A98,$E$54:$F$57,2,FALSE)</f>
        <v>£m 09/10</v>
      </c>
      <c r="I98" s="321" t="s">
        <v>270</v>
      </c>
      <c r="J98" s="420" t="s">
        <v>484</v>
      </c>
      <c r="K98" s="430">
        <f t="shared" si="19"/>
        <v>2.92E-2</v>
      </c>
      <c r="L98" s="428">
        <f t="shared" si="19"/>
        <v>2.7199999999999998E-2</v>
      </c>
      <c r="M98" s="428">
        <f t="shared" si="19"/>
        <v>2.5499999999999998E-2</v>
      </c>
      <c r="N98" s="428">
        <f t="shared" si="19"/>
        <v>2.3800000000000002E-2</v>
      </c>
      <c r="O98" s="428">
        <f t="shared" si="19"/>
        <v>2.2200000000000001E-2</v>
      </c>
      <c r="P98" s="428">
        <f t="shared" si="19"/>
        <v>1.9099999999999999E-2</v>
      </c>
      <c r="Q98" s="428">
        <f t="shared" si="19"/>
        <v>1.5800000000000002E-2</v>
      </c>
      <c r="R98" s="428">
        <f t="shared" si="19"/>
        <v>1.09E-2</v>
      </c>
      <c r="S98" s="551"/>
      <c r="T98" s="552"/>
    </row>
    <row r="99" spans="1:20">
      <c r="A99" s="60" t="s">
        <v>174</v>
      </c>
      <c r="B99" s="72" t="s">
        <v>60</v>
      </c>
      <c r="C99" s="304">
        <v>7.0000000000000007E-2</v>
      </c>
      <c r="D99" s="305">
        <v>0.5</v>
      </c>
      <c r="E99" s="306">
        <v>0.55000000000000004</v>
      </c>
      <c r="F99" s="306">
        <v>0.9</v>
      </c>
      <c r="G99" s="323">
        <v>2014</v>
      </c>
      <c r="H99" s="324" t="str">
        <f>VLOOKUP($A99,$E$54:$F$57,2,FALSE)</f>
        <v>£m 09/10</v>
      </c>
      <c r="I99" s="321" t="s">
        <v>271</v>
      </c>
      <c r="J99" s="420" t="s">
        <v>484</v>
      </c>
      <c r="K99" s="430">
        <f t="shared" si="19"/>
        <v>2.92E-2</v>
      </c>
      <c r="L99" s="428">
        <f t="shared" si="19"/>
        <v>2.7199999999999998E-2</v>
      </c>
      <c r="M99" s="428">
        <f t="shared" si="19"/>
        <v>2.5499999999999998E-2</v>
      </c>
      <c r="N99" s="428">
        <f t="shared" si="19"/>
        <v>2.3800000000000002E-2</v>
      </c>
      <c r="O99" s="428">
        <f t="shared" si="19"/>
        <v>2.2200000000000001E-2</v>
      </c>
      <c r="P99" s="428">
        <f t="shared" si="19"/>
        <v>1.9099999999999999E-2</v>
      </c>
      <c r="Q99" s="428">
        <f t="shared" si="19"/>
        <v>1.5800000000000002E-2</v>
      </c>
      <c r="R99" s="428">
        <f t="shared" si="19"/>
        <v>1.09E-2</v>
      </c>
      <c r="S99" s="551"/>
      <c r="T99" s="552"/>
    </row>
    <row r="100" spans="1:20">
      <c r="A100" s="60" t="s">
        <v>174</v>
      </c>
      <c r="B100" s="73" t="s">
        <v>61</v>
      </c>
      <c r="C100" s="307">
        <v>7.0000000000000007E-2</v>
      </c>
      <c r="D100" s="308">
        <v>0.5</v>
      </c>
      <c r="E100" s="309">
        <v>0.55000000000000004</v>
      </c>
      <c r="F100" s="309">
        <v>0.9</v>
      </c>
      <c r="G100" s="325">
        <v>2014</v>
      </c>
      <c r="H100" s="326" t="str">
        <f>VLOOKUP($A100,$E$54:$F$57,2,FALSE)</f>
        <v>£m 09/10</v>
      </c>
      <c r="I100" s="322" t="s">
        <v>271</v>
      </c>
      <c r="J100" s="420" t="s">
        <v>484</v>
      </c>
      <c r="K100" s="431">
        <f t="shared" ref="K100:R100" si="20">C$65</f>
        <v>2.92E-2</v>
      </c>
      <c r="L100" s="429">
        <f t="shared" si="20"/>
        <v>2.5000000000000001E-2</v>
      </c>
      <c r="M100" s="429">
        <f t="shared" si="20"/>
        <v>2.1499999999999998E-2</v>
      </c>
      <c r="N100" s="429">
        <f t="shared" si="20"/>
        <v>1.7899999999999999E-2</v>
      </c>
      <c r="O100" s="429">
        <f t="shared" si="20"/>
        <v>1.5100000000000001E-2</v>
      </c>
      <c r="P100" s="429">
        <f t="shared" si="20"/>
        <v>1.1599999999999999E-2</v>
      </c>
      <c r="Q100" s="429">
        <f t="shared" si="20"/>
        <v>1.0200000000000001E-2</v>
      </c>
      <c r="R100" s="429">
        <f t="shared" si="20"/>
        <v>8.3000000000000001E-3</v>
      </c>
      <c r="S100" s="553"/>
      <c r="T100" s="554"/>
    </row>
    <row r="101" spans="1:20">
      <c r="I101" s="67"/>
    </row>
    <row r="102" spans="1:20">
      <c r="I102" s="67"/>
    </row>
    <row r="103" spans="1:20">
      <c r="I103" s="67"/>
    </row>
    <row r="104" spans="1:20">
      <c r="B104" s="14" t="s">
        <v>250</v>
      </c>
      <c r="D104" s="295"/>
      <c r="E104" s="295"/>
      <c r="F104" s="295"/>
      <c r="G104" s="295"/>
      <c r="H104" s="295"/>
      <c r="I104" s="295"/>
      <c r="J104" s="295"/>
    </row>
    <row r="105" spans="1:20">
      <c r="B105" s="14"/>
      <c r="C105" s="115">
        <v>2014</v>
      </c>
      <c r="D105" s="116">
        <f>C105+1</f>
        <v>2015</v>
      </c>
      <c r="E105" s="116">
        <f t="shared" ref="E105:J105" si="21">D105+1</f>
        <v>2016</v>
      </c>
      <c r="F105" s="116">
        <f>E105+1</f>
        <v>2017</v>
      </c>
      <c r="G105" s="116">
        <f t="shared" si="21"/>
        <v>2018</v>
      </c>
      <c r="H105" s="116">
        <f t="shared" si="21"/>
        <v>2019</v>
      </c>
      <c r="I105" s="116">
        <f t="shared" si="21"/>
        <v>2020</v>
      </c>
      <c r="J105" s="116">
        <f t="shared" si="21"/>
        <v>2021</v>
      </c>
    </row>
    <row r="106" spans="1:20">
      <c r="B106" s="299" t="s">
        <v>53</v>
      </c>
      <c r="C106" s="296">
        <v>0.5</v>
      </c>
      <c r="D106" s="296">
        <v>0.5714285714285714</v>
      </c>
      <c r="E106" s="296">
        <v>0.64285714285714279</v>
      </c>
      <c r="F106" s="296">
        <v>0.71428571428571419</v>
      </c>
      <c r="G106" s="296">
        <v>0.78571428571428559</v>
      </c>
      <c r="H106" s="296">
        <v>0.85714285714285698</v>
      </c>
      <c r="I106" s="296">
        <v>0.92857142857142838</v>
      </c>
      <c r="J106" s="297">
        <v>1</v>
      </c>
    </row>
    <row r="107" spans="1:20">
      <c r="B107" s="300" t="s">
        <v>54</v>
      </c>
      <c r="C107" s="217">
        <v>0.5</v>
      </c>
      <c r="D107" s="217">
        <v>0.5714285714285714</v>
      </c>
      <c r="E107" s="217">
        <v>0.64285714285714279</v>
      </c>
      <c r="F107" s="217">
        <v>0.71428571428571419</v>
      </c>
      <c r="G107" s="217">
        <v>0.78571428571428559</v>
      </c>
      <c r="H107" s="217">
        <v>0.85714285714285698</v>
      </c>
      <c r="I107" s="217">
        <v>0.92857142857142838</v>
      </c>
      <c r="J107" s="218">
        <v>1</v>
      </c>
    </row>
    <row r="108" spans="1:20">
      <c r="B108" s="300" t="s">
        <v>55</v>
      </c>
      <c r="C108" s="217">
        <v>0.5</v>
      </c>
      <c r="D108" s="217">
        <v>0.5714285714285714</v>
      </c>
      <c r="E108" s="217">
        <v>0.64285714285714279</v>
      </c>
      <c r="F108" s="217">
        <v>0.71428571428571419</v>
      </c>
      <c r="G108" s="217">
        <v>0.78571428571428559</v>
      </c>
      <c r="H108" s="217">
        <v>0.85714285714285698</v>
      </c>
      <c r="I108" s="217">
        <v>0.92857142857142838</v>
      </c>
      <c r="J108" s="218">
        <v>1</v>
      </c>
    </row>
    <row r="109" spans="1:20">
      <c r="B109" s="300" t="s">
        <v>56</v>
      </c>
      <c r="C109" s="217">
        <v>0.5</v>
      </c>
      <c r="D109" s="217">
        <v>0.5714285714285714</v>
      </c>
      <c r="E109" s="217">
        <v>0.64285714285714279</v>
      </c>
      <c r="F109" s="217">
        <v>0.71428571428571419</v>
      </c>
      <c r="G109" s="217">
        <v>0.78571428571428559</v>
      </c>
      <c r="H109" s="217">
        <v>0.85714285714285698</v>
      </c>
      <c r="I109" s="217">
        <v>0.92857142857142838</v>
      </c>
      <c r="J109" s="218">
        <v>1</v>
      </c>
    </row>
    <row r="110" spans="1:20">
      <c r="B110" s="300" t="s">
        <v>50</v>
      </c>
      <c r="C110" s="217">
        <v>0.5</v>
      </c>
      <c r="D110" s="217">
        <v>0.5714285714285714</v>
      </c>
      <c r="E110" s="217">
        <v>0.64285714285714279</v>
      </c>
      <c r="F110" s="217">
        <v>0.71428571428571419</v>
      </c>
      <c r="G110" s="217">
        <v>0.78571428571428559</v>
      </c>
      <c r="H110" s="217">
        <v>0.85714285714285698</v>
      </c>
      <c r="I110" s="217">
        <v>0.92857142857142838</v>
      </c>
      <c r="J110" s="218">
        <v>1</v>
      </c>
    </row>
    <row r="111" spans="1:20">
      <c r="B111" s="300" t="s">
        <v>52</v>
      </c>
      <c r="C111" s="217">
        <v>0.5</v>
      </c>
      <c r="D111" s="217">
        <v>0.5714285714285714</v>
      </c>
      <c r="E111" s="217">
        <v>0.64285714285714279</v>
      </c>
      <c r="F111" s="217">
        <v>0.71428571428571419</v>
      </c>
      <c r="G111" s="217">
        <v>0.78571428571428559</v>
      </c>
      <c r="H111" s="217">
        <v>0.85714285714285698</v>
      </c>
      <c r="I111" s="217">
        <v>0.92857142857142838</v>
      </c>
      <c r="J111" s="218">
        <v>1</v>
      </c>
    </row>
    <row r="112" spans="1:20">
      <c r="B112" s="300" t="s">
        <v>51</v>
      </c>
      <c r="C112" s="217">
        <v>0.5</v>
      </c>
      <c r="D112" s="217">
        <v>0.5714285714285714</v>
      </c>
      <c r="E112" s="217">
        <v>0.64285714285714279</v>
      </c>
      <c r="F112" s="217">
        <v>0.71428571428571419</v>
      </c>
      <c r="G112" s="217">
        <v>0.78571428571428559</v>
      </c>
      <c r="H112" s="217">
        <v>0.85714285714285698</v>
      </c>
      <c r="I112" s="217">
        <v>0.92857142857142838</v>
      </c>
      <c r="J112" s="218">
        <v>1</v>
      </c>
    </row>
    <row r="113" spans="2:15">
      <c r="B113" s="413" t="s">
        <v>49</v>
      </c>
      <c r="C113" s="414">
        <v>0.5</v>
      </c>
      <c r="D113" s="414">
        <v>0.5714285714285714</v>
      </c>
      <c r="E113" s="414">
        <v>0.64285714285714279</v>
      </c>
      <c r="F113" s="414">
        <v>0.71428571428571419</v>
      </c>
      <c r="G113" s="414">
        <v>0.78571428571428559</v>
      </c>
      <c r="H113" s="414">
        <v>0.85714285714285698</v>
      </c>
      <c r="I113" s="414">
        <v>0.92857142857142838</v>
      </c>
      <c r="J113" s="415">
        <v>1</v>
      </c>
    </row>
    <row r="114" spans="2:15">
      <c r="B114" s="300" t="s">
        <v>113</v>
      </c>
      <c r="C114" s="217">
        <v>0.9</v>
      </c>
      <c r="D114" s="217">
        <v>0.9</v>
      </c>
      <c r="E114" s="217">
        <v>0.9</v>
      </c>
      <c r="F114" s="217">
        <v>0.9</v>
      </c>
      <c r="G114" s="217">
        <v>0.9</v>
      </c>
      <c r="H114" s="217">
        <v>0.9</v>
      </c>
      <c r="I114" s="217">
        <v>0.9</v>
      </c>
      <c r="J114" s="218">
        <v>0.9</v>
      </c>
    </row>
    <row r="115" spans="2:15">
      <c r="B115" s="301" t="s">
        <v>114</v>
      </c>
      <c r="C115" s="558"/>
      <c r="D115" s="558"/>
      <c r="E115" s="558"/>
      <c r="F115" s="558"/>
      <c r="G115" s="558"/>
      <c r="H115" s="558"/>
      <c r="I115" s="558"/>
      <c r="J115" s="558"/>
    </row>
    <row r="116" spans="2:15">
      <c r="B116" s="395"/>
      <c r="C116" s="454"/>
      <c r="D116" s="454"/>
      <c r="E116" s="454"/>
      <c r="F116" s="454"/>
      <c r="G116" s="454"/>
      <c r="H116" s="454"/>
      <c r="I116" s="454"/>
      <c r="J116" s="454"/>
      <c r="M116" s="31"/>
      <c r="N116" s="31"/>
      <c r="O116" s="31"/>
    </row>
    <row r="117" spans="2:15">
      <c r="B117" s="395"/>
      <c r="C117" s="454"/>
      <c r="D117" s="454"/>
      <c r="E117" s="454"/>
      <c r="F117" s="454"/>
      <c r="G117" s="454"/>
      <c r="H117" s="454"/>
      <c r="I117" s="454"/>
      <c r="J117" s="454"/>
      <c r="K117" s="361"/>
      <c r="L117" s="361"/>
      <c r="M117" s="31"/>
      <c r="N117" s="31"/>
      <c r="O117" s="31"/>
    </row>
    <row r="118" spans="2:15">
      <c r="B118" s="464" t="s">
        <v>214</v>
      </c>
      <c r="C118" s="115">
        <v>2014</v>
      </c>
      <c r="D118" s="116">
        <f t="shared" ref="D118:L118" si="22">C118+1</f>
        <v>2015</v>
      </c>
      <c r="E118" s="116">
        <f t="shared" si="22"/>
        <v>2016</v>
      </c>
      <c r="F118" s="116">
        <f t="shared" si="22"/>
        <v>2017</v>
      </c>
      <c r="G118" s="116">
        <f t="shared" si="22"/>
        <v>2018</v>
      </c>
      <c r="H118" s="116">
        <f t="shared" si="22"/>
        <v>2019</v>
      </c>
      <c r="I118" s="116">
        <f t="shared" si="22"/>
        <v>2020</v>
      </c>
      <c r="J118" s="116">
        <f t="shared" si="22"/>
        <v>2021</v>
      </c>
      <c r="K118" s="116">
        <f t="shared" si="22"/>
        <v>2022</v>
      </c>
      <c r="L118" s="193">
        <f t="shared" si="22"/>
        <v>2023</v>
      </c>
      <c r="M118" s="31"/>
      <c r="N118" s="31"/>
      <c r="O118" s="31"/>
    </row>
    <row r="119" spans="2:15">
      <c r="B119" s="455" t="s">
        <v>43</v>
      </c>
      <c r="C119" s="555"/>
      <c r="D119" s="556"/>
      <c r="E119" s="457">
        <v>1.5575632164737283</v>
      </c>
      <c r="F119" s="457">
        <v>1.4734141240658321</v>
      </c>
      <c r="G119" s="457">
        <v>1.4689588897025405</v>
      </c>
      <c r="H119" s="457">
        <v>1.4707200530126929</v>
      </c>
      <c r="I119" s="457">
        <v>1.4674716260161711</v>
      </c>
      <c r="J119" s="457">
        <v>1.4486206224386007</v>
      </c>
      <c r="K119" s="457">
        <v>1.4956798325868756</v>
      </c>
      <c r="L119" s="458">
        <v>1.4397148718051931</v>
      </c>
      <c r="M119" s="31"/>
      <c r="N119" s="31"/>
      <c r="O119" s="31"/>
    </row>
    <row r="120" spans="2:15">
      <c r="B120" s="455" t="s">
        <v>44</v>
      </c>
      <c r="C120" s="557"/>
      <c r="D120" s="558"/>
      <c r="E120" s="459">
        <v>-0.65871781800535345</v>
      </c>
      <c r="F120" s="459">
        <v>-0.63543772576063684</v>
      </c>
      <c r="G120" s="459">
        <v>-0.58907862874233818</v>
      </c>
      <c r="H120" s="459">
        <v>-0.58178188190178026</v>
      </c>
      <c r="I120" s="459">
        <v>-0.56823918867341305</v>
      </c>
      <c r="J120" s="459">
        <v>-0.51933170333654122</v>
      </c>
      <c r="K120" s="459">
        <v>-0.47962665852661612</v>
      </c>
      <c r="L120" s="460">
        <v>-0.4656874701170608</v>
      </c>
      <c r="M120" s="31"/>
      <c r="N120" s="31"/>
      <c r="O120" s="31"/>
    </row>
    <row r="121" spans="2:15">
      <c r="B121" s="455" t="s">
        <v>73</v>
      </c>
      <c r="C121" s="557"/>
      <c r="D121" s="558"/>
      <c r="E121" s="459">
        <v>-0.86626036283610952</v>
      </c>
      <c r="F121" s="459">
        <v>-0.81019773780890636</v>
      </c>
      <c r="G121" s="459">
        <v>-0.78919084241395188</v>
      </c>
      <c r="H121" s="459">
        <v>-0.79061873066036981</v>
      </c>
      <c r="I121" s="459">
        <v>-0.74432653414361061</v>
      </c>
      <c r="J121" s="459">
        <v>-0.70697274816976396</v>
      </c>
      <c r="K121" s="459">
        <v>-0.65350946162011747</v>
      </c>
      <c r="L121" s="460">
        <v>-0.66429758885743451</v>
      </c>
      <c r="M121" s="31"/>
      <c r="N121" s="31"/>
      <c r="O121" s="31"/>
    </row>
    <row r="122" spans="2:15">
      <c r="B122" s="455" t="s">
        <v>59</v>
      </c>
      <c r="C122" s="557"/>
      <c r="D122" s="558"/>
      <c r="E122" s="459">
        <v>-3.2612134183503572</v>
      </c>
      <c r="F122" s="459">
        <v>-3.3462554451402173</v>
      </c>
      <c r="G122" s="459">
        <v>-3.1732919768141143</v>
      </c>
      <c r="H122" s="459">
        <v>-3.1232404745251841</v>
      </c>
      <c r="I122" s="459">
        <v>-3.0767551306224106</v>
      </c>
      <c r="J122" s="459">
        <v>-2.9342177182087767</v>
      </c>
      <c r="K122" s="459">
        <v>-2.8825938479182072</v>
      </c>
      <c r="L122" s="460">
        <v>-2.7237011003750218</v>
      </c>
      <c r="M122" s="31"/>
      <c r="N122" s="31"/>
      <c r="O122" s="31"/>
    </row>
    <row r="123" spans="2:15">
      <c r="B123" s="455" t="s">
        <v>57</v>
      </c>
      <c r="C123" s="557"/>
      <c r="D123" s="558"/>
      <c r="E123" s="459">
        <v>-2.4260972367898193</v>
      </c>
      <c r="F123" s="459">
        <v>-2.3690383662844163</v>
      </c>
      <c r="G123" s="459">
        <v>-2.2433276600060932</v>
      </c>
      <c r="H123" s="459">
        <v>-2.1466020621213828</v>
      </c>
      <c r="I123" s="459">
        <v>-2.174009678716605</v>
      </c>
      <c r="J123" s="459">
        <v>-2.0538927838998693</v>
      </c>
      <c r="K123" s="459">
        <v>-1.9044581231060691</v>
      </c>
      <c r="L123" s="460">
        <v>-1.8008611131009082</v>
      </c>
      <c r="M123" s="31"/>
      <c r="N123" s="31"/>
      <c r="O123" s="31"/>
    </row>
    <row r="124" spans="2:15">
      <c r="B124" s="455" t="s">
        <v>58</v>
      </c>
      <c r="C124" s="557"/>
      <c r="D124" s="558"/>
      <c r="E124" s="459">
        <v>-2.1861012409352765</v>
      </c>
      <c r="F124" s="459">
        <v>-2.3820447425774849</v>
      </c>
      <c r="G124" s="459">
        <v>-2.2418672366929897</v>
      </c>
      <c r="H124" s="459">
        <v>-2.1147812646907029</v>
      </c>
      <c r="I124" s="459">
        <v>-2.0146177086326591</v>
      </c>
      <c r="J124" s="459">
        <v>-1.9421313262105093</v>
      </c>
      <c r="K124" s="459">
        <v>-1.9248856430948595</v>
      </c>
      <c r="L124" s="460">
        <v>-1.8464451304225615</v>
      </c>
      <c r="M124" s="31"/>
      <c r="N124" s="31"/>
      <c r="O124" s="31"/>
    </row>
    <row r="125" spans="2:15">
      <c r="B125" s="455" t="s">
        <v>45</v>
      </c>
      <c r="C125" s="557"/>
      <c r="D125" s="558"/>
      <c r="E125" s="459">
        <v>-1.8633532543800757</v>
      </c>
      <c r="F125" s="459">
        <v>-1.8182980405067262</v>
      </c>
      <c r="G125" s="459">
        <v>-1.83946756302578</v>
      </c>
      <c r="H125" s="459">
        <v>-1.7415973428180247</v>
      </c>
      <c r="I125" s="459">
        <v>-1.6798002111470465</v>
      </c>
      <c r="J125" s="459">
        <v>-1.5974456358596774</v>
      </c>
      <c r="K125" s="459">
        <v>-1.5016396120831343</v>
      </c>
      <c r="L125" s="460">
        <v>-1.4453638876860204</v>
      </c>
      <c r="M125" s="31"/>
      <c r="N125" s="31"/>
      <c r="O125" s="31"/>
    </row>
    <row r="126" spans="2:15">
      <c r="B126" s="455" t="s">
        <v>46</v>
      </c>
      <c r="C126" s="557"/>
      <c r="D126" s="558"/>
      <c r="E126" s="459">
        <v>-2.1317145269512103</v>
      </c>
      <c r="F126" s="459">
        <v>-2.193973633026753</v>
      </c>
      <c r="G126" s="459">
        <v>-1.9869010217130036</v>
      </c>
      <c r="H126" s="459">
        <v>-1.8037552784318813</v>
      </c>
      <c r="I126" s="459">
        <v>-1.7767942495618843</v>
      </c>
      <c r="J126" s="459">
        <v>-1.7901472583807538</v>
      </c>
      <c r="K126" s="459">
        <v>-1.6444113686346382</v>
      </c>
      <c r="L126" s="460">
        <v>-1.467384504290556</v>
      </c>
      <c r="M126" s="31"/>
      <c r="N126" s="31"/>
      <c r="O126" s="31"/>
    </row>
    <row r="127" spans="2:15">
      <c r="B127" s="455" t="s">
        <v>47</v>
      </c>
      <c r="C127" s="557"/>
      <c r="D127" s="558"/>
      <c r="E127" s="459">
        <v>0.16599721814464838</v>
      </c>
      <c r="F127" s="459">
        <v>0.16631900606776751</v>
      </c>
      <c r="G127" s="459">
        <v>0.16554337895881124</v>
      </c>
      <c r="H127" s="459">
        <v>0.16569741136821181</v>
      </c>
      <c r="I127" s="459">
        <v>0.16622630759870036</v>
      </c>
      <c r="J127" s="459">
        <v>0.16380302414374548</v>
      </c>
      <c r="K127" s="459">
        <v>0.16593344617950709</v>
      </c>
      <c r="L127" s="460">
        <v>0.16036688822048883</v>
      </c>
      <c r="M127" s="31"/>
      <c r="N127" s="31"/>
      <c r="O127" s="31"/>
    </row>
    <row r="128" spans="2:15">
      <c r="B128" s="455" t="s">
        <v>48</v>
      </c>
      <c r="C128" s="557"/>
      <c r="D128" s="558"/>
      <c r="E128" s="459">
        <v>0.3648271976377423</v>
      </c>
      <c r="F128" s="459">
        <v>0.37109083837102003</v>
      </c>
      <c r="G128" s="459">
        <v>0.36071859106606846</v>
      </c>
      <c r="H128" s="459">
        <v>0.35927814835295946</v>
      </c>
      <c r="I128" s="459">
        <v>0.3227419487574148</v>
      </c>
      <c r="J128" s="459">
        <v>0.32139075529498529</v>
      </c>
      <c r="K128" s="459">
        <v>0.32876178406363676</v>
      </c>
      <c r="L128" s="460">
        <v>0.31920430794598709</v>
      </c>
      <c r="M128" s="31"/>
      <c r="N128" s="31"/>
      <c r="O128" s="31"/>
    </row>
    <row r="129" spans="2:15">
      <c r="B129" s="455" t="s">
        <v>246</v>
      </c>
      <c r="C129" s="557"/>
      <c r="D129" s="558"/>
      <c r="E129" s="459">
        <v>7.1281196754416492</v>
      </c>
      <c r="F129" s="459">
        <v>6.9674138399666772</v>
      </c>
      <c r="G129" s="459">
        <v>6.2034025893135132</v>
      </c>
      <c r="H129" s="459">
        <v>6.3085978915797085</v>
      </c>
      <c r="I129" s="459">
        <v>6.2376648400128394</v>
      </c>
      <c r="J129" s="459">
        <v>6.4865819943041139</v>
      </c>
      <c r="K129" s="459">
        <v>6.8152516624832584</v>
      </c>
      <c r="L129" s="460">
        <v>6.6271056201039169</v>
      </c>
      <c r="M129" s="31"/>
      <c r="N129" s="31"/>
      <c r="O129" s="31"/>
    </row>
    <row r="130" spans="2:15">
      <c r="B130" s="455" t="s">
        <v>247</v>
      </c>
      <c r="C130" s="557"/>
      <c r="D130" s="558"/>
      <c r="E130" s="459">
        <v>6.5079014730517413</v>
      </c>
      <c r="F130" s="459">
        <v>6.5166167406950333</v>
      </c>
      <c r="G130" s="459">
        <v>6.3292456496722922</v>
      </c>
      <c r="H130" s="459">
        <v>6.4407397408462082</v>
      </c>
      <c r="I130" s="459">
        <v>6.6367331985058957</v>
      </c>
      <c r="J130" s="459">
        <v>6.7568163761394304</v>
      </c>
      <c r="K130" s="459">
        <v>6.6961234445143969</v>
      </c>
      <c r="L130" s="460">
        <v>6.7647427548792596</v>
      </c>
      <c r="M130" s="31"/>
      <c r="N130" s="31"/>
      <c r="O130" s="31"/>
    </row>
    <row r="131" spans="2:15">
      <c r="B131" s="455" t="s">
        <v>248</v>
      </c>
      <c r="C131" s="557"/>
      <c r="D131" s="558"/>
      <c r="E131" s="459">
        <v>3.6763138465229663</v>
      </c>
      <c r="F131" s="459">
        <v>3.6748350873956013</v>
      </c>
      <c r="G131" s="459">
        <v>3.4998529635433906</v>
      </c>
      <c r="H131" s="459">
        <v>3.724685546648324</v>
      </c>
      <c r="I131" s="459">
        <v>3.4121739487309477</v>
      </c>
      <c r="J131" s="459">
        <v>3.4202241027689042</v>
      </c>
      <c r="K131" s="459">
        <v>3.3053549439575329</v>
      </c>
      <c r="L131" s="460">
        <v>3.3633285641010966</v>
      </c>
      <c r="M131" s="31"/>
      <c r="N131" s="31"/>
      <c r="O131" s="31"/>
    </row>
    <row r="132" spans="2:15">
      <c r="B132" s="455" t="s">
        <v>249</v>
      </c>
      <c r="C132" s="557"/>
      <c r="D132" s="558"/>
      <c r="E132" s="459">
        <v>5.3762701961708466</v>
      </c>
      <c r="F132" s="459">
        <v>5.3775969760840585</v>
      </c>
      <c r="G132" s="459">
        <v>5.2618102801807671</v>
      </c>
      <c r="H132" s="459">
        <v>5.360849180672294</v>
      </c>
      <c r="I132" s="459">
        <v>5.2665238228731912</v>
      </c>
      <c r="J132" s="459">
        <v>5.3271179030285305</v>
      </c>
      <c r="K132" s="459">
        <v>5.3223294006601192</v>
      </c>
      <c r="L132" s="460">
        <v>5.5699880746272257</v>
      </c>
      <c r="M132" s="31"/>
      <c r="N132" s="31"/>
      <c r="O132" s="31"/>
    </row>
    <row r="133" spans="2:15">
      <c r="B133" s="455" t="s">
        <v>53</v>
      </c>
      <c r="C133" s="461">
        <v>1.4371556068940596</v>
      </c>
      <c r="D133" s="459">
        <v>1.3718015630879741</v>
      </c>
      <c r="E133" s="459">
        <v>1.3507660107019517</v>
      </c>
      <c r="F133" s="459">
        <v>1.356812198977974</v>
      </c>
      <c r="G133" s="459">
        <v>1.3598136386487443</v>
      </c>
      <c r="H133" s="459">
        <v>1.3501475065962032</v>
      </c>
      <c r="I133" s="459">
        <v>1.3298433305384654</v>
      </c>
      <c r="J133" s="459">
        <v>1.3174540960763355</v>
      </c>
      <c r="K133" s="558"/>
      <c r="L133" s="559"/>
      <c r="M133" s="31"/>
      <c r="N133" s="31"/>
      <c r="O133" s="31"/>
    </row>
    <row r="134" spans="2:15">
      <c r="B134" s="455" t="s">
        <v>54</v>
      </c>
      <c r="C134" s="461">
        <v>1.2224510767557433</v>
      </c>
      <c r="D134" s="459">
        <v>1.2198157429394254</v>
      </c>
      <c r="E134" s="459">
        <v>1.2942164825881293</v>
      </c>
      <c r="F134" s="459">
        <v>1.2596396269108345</v>
      </c>
      <c r="G134" s="459">
        <v>1.2840112184368913</v>
      </c>
      <c r="H134" s="459">
        <v>1.2678511857965422</v>
      </c>
      <c r="I134" s="459">
        <v>1.2592019055105816</v>
      </c>
      <c r="J134" s="459">
        <v>1.257376658609527</v>
      </c>
      <c r="K134" s="558"/>
      <c r="L134" s="559"/>
      <c r="M134" s="31"/>
      <c r="N134" s="31"/>
      <c r="O134" s="31"/>
    </row>
    <row r="135" spans="2:15">
      <c r="B135" s="455" t="s">
        <v>55</v>
      </c>
      <c r="C135" s="461">
        <v>0.82325002294811445</v>
      </c>
      <c r="D135" s="459">
        <v>0.82663571281128501</v>
      </c>
      <c r="E135" s="459">
        <v>0.79640504595610451</v>
      </c>
      <c r="F135" s="459">
        <v>0.78757021450124798</v>
      </c>
      <c r="G135" s="459">
        <v>0.81133252861207505</v>
      </c>
      <c r="H135" s="459">
        <v>0.81064228783969072</v>
      </c>
      <c r="I135" s="459">
        <v>0.80900368952296353</v>
      </c>
      <c r="J135" s="459">
        <v>0.78043276967968189</v>
      </c>
      <c r="K135" s="558"/>
      <c r="L135" s="559"/>
      <c r="M135" s="31"/>
      <c r="N135" s="31"/>
      <c r="O135" s="31"/>
    </row>
    <row r="136" spans="2:15">
      <c r="B136" s="455" t="s">
        <v>56</v>
      </c>
      <c r="C136" s="461">
        <v>1.0893959849781105</v>
      </c>
      <c r="D136" s="459">
        <v>1.027913194554035</v>
      </c>
      <c r="E136" s="459">
        <v>1.0066987144123654</v>
      </c>
      <c r="F136" s="459">
        <v>1.0192350900597893</v>
      </c>
      <c r="G136" s="459">
        <v>1.0341480780318344</v>
      </c>
      <c r="H136" s="459">
        <v>1.0204240792759967</v>
      </c>
      <c r="I136" s="459">
        <v>1.0137739549704501</v>
      </c>
      <c r="J136" s="459">
        <v>0.9898055017218621</v>
      </c>
      <c r="K136" s="558"/>
      <c r="L136" s="559"/>
      <c r="M136" s="31"/>
      <c r="N136" s="31"/>
      <c r="O136" s="31"/>
    </row>
    <row r="137" spans="2:15">
      <c r="B137" s="455" t="s">
        <v>50</v>
      </c>
      <c r="C137" s="461">
        <v>3.0675250143183739</v>
      </c>
      <c r="D137" s="459">
        <v>3.1629219417602221</v>
      </c>
      <c r="E137" s="459">
        <v>3.2156604222069194</v>
      </c>
      <c r="F137" s="459">
        <v>3.1773534622131239</v>
      </c>
      <c r="G137" s="459">
        <v>2.9925267771957293</v>
      </c>
      <c r="H137" s="459">
        <v>2.9953978987575276</v>
      </c>
      <c r="I137" s="459">
        <v>3.008780645638939</v>
      </c>
      <c r="J137" s="459">
        <v>3.0035530345258876</v>
      </c>
      <c r="K137" s="558"/>
      <c r="L137" s="559"/>
      <c r="M137" s="31"/>
      <c r="N137" s="31"/>
      <c r="O137" s="31"/>
    </row>
    <row r="138" spans="2:15">
      <c r="B138" s="455" t="s">
        <v>52</v>
      </c>
      <c r="C138" s="461">
        <v>2.1240897362733717</v>
      </c>
      <c r="D138" s="459">
        <v>2.0350723340362249</v>
      </c>
      <c r="E138" s="459">
        <v>1.9686998072928457</v>
      </c>
      <c r="F138" s="459">
        <v>2.0858456765056492</v>
      </c>
      <c r="G138" s="459">
        <v>2.1150393198028121</v>
      </c>
      <c r="H138" s="459">
        <v>2.0960407823683633</v>
      </c>
      <c r="I138" s="459">
        <v>1.9709648894580449</v>
      </c>
      <c r="J138" s="459">
        <v>1.9558237270696361</v>
      </c>
      <c r="K138" s="558"/>
      <c r="L138" s="559"/>
      <c r="M138" s="31"/>
      <c r="N138" s="31"/>
      <c r="O138" s="31"/>
    </row>
    <row r="139" spans="2:15">
      <c r="B139" s="455" t="s">
        <v>51</v>
      </c>
      <c r="C139" s="461">
        <v>4.3724011747736116</v>
      </c>
      <c r="D139" s="459">
        <v>4.1057641662653896</v>
      </c>
      <c r="E139" s="459">
        <v>4.0545669929819539</v>
      </c>
      <c r="F139" s="459">
        <v>4.1740927460581894</v>
      </c>
      <c r="G139" s="459">
        <v>4.2397101975440528</v>
      </c>
      <c r="H139" s="459">
        <v>4.2461477210751069</v>
      </c>
      <c r="I139" s="459">
        <v>4.1078523076276792</v>
      </c>
      <c r="J139" s="459">
        <v>4.0575944965475035</v>
      </c>
      <c r="K139" s="558"/>
      <c r="L139" s="559"/>
      <c r="M139" s="31"/>
      <c r="N139" s="31"/>
      <c r="O139" s="31"/>
    </row>
    <row r="140" spans="2:15">
      <c r="B140" s="455" t="s">
        <v>49</v>
      </c>
      <c r="C140" s="461">
        <v>1.3982776671905828</v>
      </c>
      <c r="D140" s="459">
        <v>1.3864649866746799</v>
      </c>
      <c r="E140" s="459">
        <v>1.3673040530931269</v>
      </c>
      <c r="F140" s="459">
        <v>1.3493453776780693</v>
      </c>
      <c r="G140" s="459">
        <v>1.3347777856873293</v>
      </c>
      <c r="H140" s="459">
        <v>1.3354887108693174</v>
      </c>
      <c r="I140" s="459">
        <v>1.3597799661606067</v>
      </c>
      <c r="J140" s="459">
        <v>1.3515240072037848</v>
      </c>
      <c r="K140" s="558"/>
      <c r="L140" s="559"/>
      <c r="M140" s="31"/>
      <c r="N140" s="31"/>
      <c r="O140" s="31"/>
    </row>
    <row r="141" spans="2:15">
      <c r="B141" s="455" t="s">
        <v>113</v>
      </c>
      <c r="C141" s="461">
        <v>-1.1295718210052885</v>
      </c>
      <c r="D141" s="459">
        <v>-1.1444007312827333</v>
      </c>
      <c r="E141" s="459">
        <v>-1.1763817360750841</v>
      </c>
      <c r="F141" s="459">
        <v>-1.5927557463957547</v>
      </c>
      <c r="G141" s="459">
        <v>-1.8565667598967899</v>
      </c>
      <c r="H141" s="459">
        <v>-1.2720416735170972</v>
      </c>
      <c r="I141" s="459">
        <v>-1.1039739947823479</v>
      </c>
      <c r="J141" s="459">
        <v>-1.018311326547777</v>
      </c>
      <c r="K141" s="558"/>
      <c r="L141" s="559"/>
      <c r="M141" s="31"/>
      <c r="N141" s="31"/>
      <c r="O141" s="31"/>
    </row>
    <row r="142" spans="2:15">
      <c r="B142" s="455" t="s">
        <v>114</v>
      </c>
      <c r="C142" s="461">
        <v>-0.43181154987245485</v>
      </c>
      <c r="D142" s="459">
        <v>-0.39947195996305995</v>
      </c>
      <c r="E142" s="459">
        <v>-0.34734317043598018</v>
      </c>
      <c r="F142" s="459">
        <v>-0.3193206524905472</v>
      </c>
      <c r="G142" s="459">
        <v>-0.31265626882301373</v>
      </c>
      <c r="H142" s="459">
        <v>-0.30799379948941219</v>
      </c>
      <c r="I142" s="459">
        <v>-0.32570922921081308</v>
      </c>
      <c r="J142" s="459">
        <v>-0.31552026220892354</v>
      </c>
      <c r="K142" s="558"/>
      <c r="L142" s="559"/>
      <c r="M142" s="31"/>
      <c r="N142" s="31"/>
      <c r="O142" s="31"/>
    </row>
    <row r="143" spans="2:15">
      <c r="B143" s="455" t="s">
        <v>111</v>
      </c>
      <c r="C143" s="461">
        <v>15.168246288518162</v>
      </c>
      <c r="D143" s="459">
        <v>16.275110005972994</v>
      </c>
      <c r="E143" s="459">
        <v>15.614702904478012</v>
      </c>
      <c r="F143" s="459">
        <v>14.911674359737152</v>
      </c>
      <c r="G143" s="459">
        <v>13.033415757853545</v>
      </c>
      <c r="H143" s="459">
        <v>12.556067765830047</v>
      </c>
      <c r="I143" s="459">
        <v>11.285100906339711</v>
      </c>
      <c r="J143" s="459">
        <v>9.8268179419485548</v>
      </c>
      <c r="K143" s="558"/>
      <c r="L143" s="559"/>
      <c r="M143" s="31"/>
      <c r="N143" s="31"/>
      <c r="O143" s="31"/>
    </row>
    <row r="144" spans="2:15">
      <c r="B144" s="455" t="s">
        <v>112</v>
      </c>
      <c r="C144" s="461">
        <v>0.93219394583370063</v>
      </c>
      <c r="D144" s="459">
        <v>0.89969793099769957</v>
      </c>
      <c r="E144" s="459">
        <v>0.87783267686821997</v>
      </c>
      <c r="F144" s="459">
        <v>0.87232109317784756</v>
      </c>
      <c r="G144" s="459">
        <v>0.89875958568159287</v>
      </c>
      <c r="H144" s="459">
        <v>0.82801710222961222</v>
      </c>
      <c r="I144" s="459">
        <v>0.88417658562860901</v>
      </c>
      <c r="J144" s="459">
        <v>0.89982415652833247</v>
      </c>
      <c r="K144" s="558"/>
      <c r="L144" s="559"/>
      <c r="M144" s="31"/>
      <c r="N144" s="31"/>
      <c r="O144" s="31"/>
    </row>
    <row r="145" spans="1:15">
      <c r="B145" s="455" t="s">
        <v>60</v>
      </c>
      <c r="C145" s="461">
        <v>10.952751093909903</v>
      </c>
      <c r="D145" s="459">
        <v>1.3412683602121493</v>
      </c>
      <c r="E145" s="459">
        <v>22.190179414419269</v>
      </c>
      <c r="F145" s="459">
        <v>7.0488483253947072</v>
      </c>
      <c r="G145" s="459">
        <v>6.9020695692988534</v>
      </c>
      <c r="H145" s="459">
        <v>6.9425238085580094</v>
      </c>
      <c r="I145" s="459">
        <v>7.0785069781779111</v>
      </c>
      <c r="J145" s="459">
        <v>5.2688524500291916</v>
      </c>
      <c r="K145" s="558"/>
      <c r="L145" s="559"/>
      <c r="M145" s="31"/>
      <c r="N145" s="31"/>
      <c r="O145" s="31"/>
    </row>
    <row r="146" spans="1:15">
      <c r="B146" s="456" t="s">
        <v>61</v>
      </c>
      <c r="C146" s="462">
        <v>4.7850556060781999</v>
      </c>
      <c r="D146" s="463">
        <v>4.9736597194598335</v>
      </c>
      <c r="E146" s="463">
        <v>5.6988662496343032</v>
      </c>
      <c r="F146" s="463">
        <v>3.7921077312788807</v>
      </c>
      <c r="G146" s="463">
        <v>2.8512563802087829</v>
      </c>
      <c r="H146" s="463">
        <v>2.8799765245720623</v>
      </c>
      <c r="I146" s="463">
        <v>2.9074703511454074</v>
      </c>
      <c r="J146" s="463">
        <v>2.8191074376225309</v>
      </c>
      <c r="K146" s="560"/>
      <c r="L146" s="561"/>
      <c r="M146" s="31"/>
      <c r="N146" s="31"/>
      <c r="O146" s="31"/>
    </row>
    <row r="147" spans="1:15">
      <c r="B147" s="31"/>
      <c r="C147" s="31"/>
      <c r="D147" s="31"/>
      <c r="E147" s="31"/>
      <c r="F147" s="31"/>
      <c r="G147" s="31"/>
      <c r="H147" s="31"/>
      <c r="I147" s="31"/>
      <c r="J147" s="31"/>
      <c r="K147" s="31"/>
      <c r="L147" s="31"/>
      <c r="M147" s="31"/>
      <c r="N147" s="31"/>
      <c r="O147" s="31"/>
    </row>
    <row r="148" spans="1:15">
      <c r="B148" s="395"/>
      <c r="C148" s="361"/>
      <c r="D148" s="361"/>
      <c r="E148" s="361"/>
      <c r="F148" s="361"/>
      <c r="G148" s="361"/>
      <c r="H148" s="361"/>
      <c r="I148" s="361"/>
      <c r="J148" s="361"/>
      <c r="K148" s="31"/>
      <c r="L148" s="31"/>
      <c r="M148" s="31"/>
    </row>
    <row r="149" spans="1:15">
      <c r="B149" s="418" t="str">
        <f>LEFT('RFPR cover'!C6,2)</f>
        <v>ED</v>
      </c>
      <c r="C149" s="416"/>
      <c r="D149" s="416"/>
      <c r="E149" s="416"/>
      <c r="F149" s="416"/>
      <c r="G149" s="416"/>
      <c r="H149" s="416"/>
      <c r="I149" s="416"/>
      <c r="J149" s="416"/>
      <c r="K149" s="416"/>
      <c r="L149" s="417"/>
    </row>
    <row r="150" spans="1:15" ht="14.25" customHeight="1">
      <c r="A150" s="203"/>
      <c r="B150" s="452" t="s">
        <v>405</v>
      </c>
      <c r="C150" s="453"/>
      <c r="D150" s="453"/>
      <c r="E150" s="453"/>
      <c r="F150" s="451"/>
      <c r="G150" s="451"/>
      <c r="H150" s="451"/>
      <c r="I150" s="451"/>
      <c r="J150" s="451"/>
      <c r="K150" s="451"/>
      <c r="L150" s="451"/>
      <c r="M150" s="451"/>
      <c r="N150" s="451"/>
    </row>
    <row r="151" spans="1:15" s="31" customFormat="1" ht="14.25" customHeight="1">
      <c r="A151" s="791"/>
      <c r="B151" s="792"/>
      <c r="C151" s="793"/>
      <c r="D151" s="793"/>
      <c r="E151" s="793"/>
      <c r="F151" s="794"/>
      <c r="G151" s="794"/>
      <c r="H151" s="794"/>
      <c r="I151" s="794"/>
      <c r="J151" s="794"/>
      <c r="K151" s="794"/>
      <c r="L151" s="794"/>
      <c r="M151" s="794"/>
      <c r="N151" s="794"/>
    </row>
    <row r="152" spans="1:15">
      <c r="A152" s="201"/>
      <c r="B152" s="795" t="s">
        <v>411</v>
      </c>
      <c r="C152" s="204"/>
      <c r="D152" s="204"/>
      <c r="E152" s="796" t="b">
        <f>OR((LEFT('RFPR cover'!$C$6,2)=Data!F152),'RFPR cover'!$C$5=Data!F152)</f>
        <v>1</v>
      </c>
      <c r="F152" s="360" t="str">
        <f>B162</f>
        <v>ED</v>
      </c>
      <c r="G152" s="797"/>
    </row>
    <row r="153" spans="1:15">
      <c r="A153" s="201"/>
      <c r="B153" s="812" t="str">
        <f>CHOOSE(MATCH(TRUE,$E$152:$E$159,0),B163,B173,B183,E183,B193,E193,B203,E203)&amp;""</f>
        <v>Broad measure of customer service</v>
      </c>
      <c r="C153" s="204"/>
      <c r="D153" s="204"/>
      <c r="E153" s="798" t="b">
        <f>OR((LEFT('RFPR cover'!$C$6,2)=Data!F153),'RFPR cover'!$C$5=Data!F153)</f>
        <v>0</v>
      </c>
      <c r="F153" s="361" t="str">
        <f>B172</f>
        <v>GD</v>
      </c>
      <c r="G153" s="200"/>
    </row>
    <row r="154" spans="1:15">
      <c r="A154" s="201"/>
      <c r="B154" s="813" t="str">
        <f t="shared" ref="B154:B160" si="23">CHOOSE(MATCH(TRUE,$E$152:$E$159,0),B164,B174,B184,E184,B194,E194,B204,E204)&amp;""</f>
        <v>Interruptions-related quality of service</v>
      </c>
      <c r="C154" s="204"/>
      <c r="D154" s="204"/>
      <c r="E154" s="798" t="b">
        <f>OR((LEFT('RFPR cover'!$C$6,2)=Data!F154),'RFPR cover'!$C$5=Data!F154)</f>
        <v>0</v>
      </c>
      <c r="F154" s="811" t="str">
        <f>B182</f>
        <v>NGGT (TO)</v>
      </c>
      <c r="G154" s="200"/>
    </row>
    <row r="155" spans="1:15">
      <c r="A155" s="201"/>
      <c r="B155" s="813" t="str">
        <f t="shared" si="23"/>
        <v>Incentive on connections engagement</v>
      </c>
      <c r="C155" s="204"/>
      <c r="D155" s="204"/>
      <c r="E155" s="798" t="b">
        <f>OR((LEFT('RFPR cover'!$C$6,2)=Data!F155),'RFPR cover'!$C$5=Data!F155)</f>
        <v>0</v>
      </c>
      <c r="F155" s="799" t="str">
        <f>E182</f>
        <v>NGGT (SO)</v>
      </c>
      <c r="G155" s="200"/>
    </row>
    <row r="156" spans="1:15">
      <c r="A156" s="201"/>
      <c r="B156" s="813" t="str">
        <f t="shared" si="23"/>
        <v>Time to Connect Incentive</v>
      </c>
      <c r="C156" s="204"/>
      <c r="D156" s="204"/>
      <c r="E156" s="798" t="b">
        <f>OR((LEFT('RFPR cover'!$C$6,2)=Data!F156),'RFPR cover'!$C$5=Data!F156)</f>
        <v>0</v>
      </c>
      <c r="F156" s="799" t="str">
        <f>B192</f>
        <v>NGET (TO)</v>
      </c>
      <c r="G156" s="200"/>
    </row>
    <row r="157" spans="1:15">
      <c r="A157" s="201"/>
      <c r="B157" s="814" t="str">
        <f t="shared" si="23"/>
        <v>Losses discretionary reward scheme</v>
      </c>
      <c r="C157" s="204"/>
      <c r="D157" s="204"/>
      <c r="E157" s="798" t="b">
        <f>OR((LEFT('RFPR cover'!$C$6,2)=Data!F157),'RFPR cover'!$C$5=Data!F157)</f>
        <v>0</v>
      </c>
      <c r="F157" s="799" t="str">
        <f>E192</f>
        <v>NGET (SO)</v>
      </c>
      <c r="G157" s="200"/>
    </row>
    <row r="158" spans="1:15">
      <c r="A158" s="201"/>
      <c r="B158" s="814" t="str">
        <f t="shared" si="23"/>
        <v/>
      </c>
      <c r="C158" s="204"/>
      <c r="D158" s="204"/>
      <c r="E158" s="798" t="b">
        <f>OR((LEFT('RFPR cover'!$C$6,2)=Data!F158),'RFPR cover'!$C$5=Data!F158)</f>
        <v>0</v>
      </c>
      <c r="F158" s="799" t="str">
        <f>B202</f>
        <v>SPT</v>
      </c>
      <c r="G158" s="200"/>
    </row>
    <row r="159" spans="1:15">
      <c r="A159" s="201"/>
      <c r="B159" s="814" t="str">
        <f t="shared" si="23"/>
        <v/>
      </c>
      <c r="C159" s="204"/>
      <c r="D159" s="204"/>
      <c r="E159" s="800" t="b">
        <f>OR((LEFT('RFPR cover'!$C$6,2)=Data!F159),'RFPR cover'!$C$5=Data!F159)</f>
        <v>0</v>
      </c>
      <c r="F159" s="801" t="str">
        <f>E202</f>
        <v>SHET</v>
      </c>
      <c r="G159" s="294"/>
    </row>
    <row r="160" spans="1:15">
      <c r="A160" s="201"/>
      <c r="B160" s="204" t="str">
        <f t="shared" si="23"/>
        <v/>
      </c>
      <c r="C160" s="204"/>
      <c r="D160" s="204"/>
      <c r="E160" s="59"/>
      <c r="F160" s="799"/>
      <c r="G160" s="42"/>
    </row>
    <row r="161" spans="1:7">
      <c r="A161" s="201"/>
      <c r="B161" s="204"/>
      <c r="C161" s="204"/>
      <c r="D161" s="204"/>
      <c r="E161" s="59"/>
      <c r="F161" s="799"/>
      <c r="G161" s="42"/>
    </row>
    <row r="162" spans="1:7" ht="12" customHeight="1">
      <c r="A162" s="201"/>
      <c r="B162" s="977" t="s">
        <v>172</v>
      </c>
      <c r="C162" s="978"/>
      <c r="D162" s="204"/>
      <c r="E162" s="204"/>
    </row>
    <row r="163" spans="1:7">
      <c r="A163" s="201"/>
      <c r="B163" s="1000" t="s">
        <v>406</v>
      </c>
      <c r="C163" s="1001"/>
      <c r="D163" s="204"/>
      <c r="E163" s="204"/>
    </row>
    <row r="164" spans="1:7">
      <c r="A164" s="201"/>
      <c r="B164" s="1000" t="s">
        <v>407</v>
      </c>
      <c r="C164" s="1001"/>
      <c r="D164" s="204"/>
      <c r="E164" s="204"/>
    </row>
    <row r="165" spans="1:7">
      <c r="A165" s="201"/>
      <c r="B165" s="964" t="s">
        <v>408</v>
      </c>
      <c r="C165" s="965"/>
      <c r="D165" s="204"/>
      <c r="E165" s="204"/>
    </row>
    <row r="166" spans="1:7">
      <c r="A166" s="201"/>
      <c r="B166" s="964" t="s">
        <v>409</v>
      </c>
      <c r="C166" s="965"/>
      <c r="D166" s="204"/>
      <c r="E166" s="204"/>
    </row>
    <row r="167" spans="1:7">
      <c r="A167" s="201"/>
      <c r="B167" s="964" t="s">
        <v>410</v>
      </c>
      <c r="C167" s="965"/>
      <c r="D167" s="204"/>
      <c r="E167" s="204"/>
    </row>
    <row r="168" spans="1:7">
      <c r="A168" s="201"/>
      <c r="B168" s="964"/>
      <c r="C168" s="965"/>
      <c r="D168" s="204"/>
      <c r="E168" s="204"/>
    </row>
    <row r="169" spans="1:7">
      <c r="A169" s="201"/>
      <c r="B169" s="964"/>
      <c r="C169" s="965"/>
      <c r="D169" s="204"/>
      <c r="E169" s="204"/>
    </row>
    <row r="170" spans="1:7">
      <c r="A170" s="201"/>
      <c r="B170" s="204"/>
      <c r="C170" s="204"/>
      <c r="D170" s="204"/>
      <c r="E170" s="204"/>
    </row>
    <row r="171" spans="1:7">
      <c r="A171" s="201"/>
      <c r="B171" s="204"/>
      <c r="C171" s="204"/>
      <c r="D171" s="204"/>
      <c r="E171" s="204"/>
    </row>
    <row r="172" spans="1:7">
      <c r="A172" s="201"/>
      <c r="B172" s="977" t="s">
        <v>173</v>
      </c>
      <c r="C172" s="978"/>
      <c r="D172" s="204"/>
      <c r="E172" s="204"/>
    </row>
    <row r="173" spans="1:7" ht="12.75" customHeight="1">
      <c r="A173" s="201"/>
      <c r="B173" s="972" t="s">
        <v>223</v>
      </c>
      <c r="C173" s="973"/>
      <c r="D173" s="204"/>
      <c r="E173" s="204"/>
    </row>
    <row r="174" spans="1:7" ht="12.75" customHeight="1">
      <c r="A174" s="201"/>
      <c r="B174" s="969" t="s">
        <v>224</v>
      </c>
      <c r="C174" s="971"/>
      <c r="D174" s="204"/>
      <c r="E174" s="204"/>
    </row>
    <row r="175" spans="1:7" ht="12.75" customHeight="1">
      <c r="A175" s="201"/>
      <c r="B175" s="969" t="s">
        <v>225</v>
      </c>
      <c r="C175" s="971"/>
      <c r="D175" s="204"/>
      <c r="E175" s="204"/>
    </row>
    <row r="176" spans="1:7" ht="12.75" customHeight="1">
      <c r="A176" s="201"/>
      <c r="B176" s="969" t="s">
        <v>226</v>
      </c>
      <c r="C176" s="971"/>
      <c r="D176" s="204"/>
      <c r="E176" s="204"/>
    </row>
    <row r="177" spans="1:9" ht="12.75" customHeight="1">
      <c r="A177" s="201"/>
      <c r="B177" s="966" t="s">
        <v>308</v>
      </c>
      <c r="C177" s="968"/>
      <c r="D177" s="204"/>
      <c r="E177" s="204"/>
    </row>
    <row r="178" spans="1:9" ht="12.75" customHeight="1">
      <c r="A178" s="201"/>
      <c r="B178" s="966"/>
      <c r="C178" s="968"/>
      <c r="D178" s="204"/>
      <c r="E178" s="204"/>
    </row>
    <row r="179" spans="1:9" ht="12.75" customHeight="1">
      <c r="A179" s="201"/>
      <c r="B179" s="966"/>
      <c r="C179" s="968"/>
      <c r="D179" s="204"/>
      <c r="E179" s="204"/>
    </row>
    <row r="180" spans="1:9">
      <c r="A180" s="201"/>
      <c r="B180" s="204"/>
      <c r="C180" s="204"/>
      <c r="D180" s="204"/>
      <c r="E180" s="204"/>
    </row>
    <row r="181" spans="1:9">
      <c r="A181" s="201"/>
      <c r="B181" s="204"/>
      <c r="C181" s="204"/>
      <c r="D181" s="204"/>
      <c r="E181" s="204"/>
    </row>
    <row r="182" spans="1:9">
      <c r="A182" s="201"/>
      <c r="B182" s="974" t="str">
        <f>B95</f>
        <v>NGGT (TO)</v>
      </c>
      <c r="C182" s="975"/>
      <c r="D182" s="204"/>
      <c r="E182" s="974" t="str">
        <f>B96</f>
        <v>NGGT (SO)</v>
      </c>
      <c r="F182" s="999"/>
      <c r="G182" s="999"/>
      <c r="H182" s="999"/>
      <c r="I182" s="978"/>
    </row>
    <row r="183" spans="1:9" ht="12.45" customHeight="1">
      <c r="A183" s="201"/>
      <c r="B183" s="972" t="s">
        <v>219</v>
      </c>
      <c r="C183" s="973"/>
      <c r="D183" s="204"/>
      <c r="E183" s="969" t="s">
        <v>558</v>
      </c>
      <c r="F183" s="970" t="s">
        <v>558</v>
      </c>
      <c r="G183" s="970" t="s">
        <v>558</v>
      </c>
      <c r="H183" s="970" t="s">
        <v>558</v>
      </c>
      <c r="I183" s="971" t="s">
        <v>558</v>
      </c>
    </row>
    <row r="184" spans="1:9" ht="12.45" customHeight="1">
      <c r="A184" s="201"/>
      <c r="B184" s="969" t="s">
        <v>227</v>
      </c>
      <c r="C184" s="971"/>
      <c r="D184" s="204"/>
      <c r="E184" s="969" t="s">
        <v>559</v>
      </c>
      <c r="F184" s="970" t="s">
        <v>559</v>
      </c>
      <c r="G184" s="970" t="s">
        <v>559</v>
      </c>
      <c r="H184" s="970" t="s">
        <v>559</v>
      </c>
      <c r="I184" s="971" t="s">
        <v>559</v>
      </c>
    </row>
    <row r="185" spans="1:9" ht="12.45" customHeight="1">
      <c r="A185" s="201"/>
      <c r="B185" s="969"/>
      <c r="C185" s="971"/>
      <c r="D185" s="204"/>
      <c r="E185" s="969" t="s">
        <v>560</v>
      </c>
      <c r="F185" s="970" t="s">
        <v>560</v>
      </c>
      <c r="G185" s="970" t="s">
        <v>560</v>
      </c>
      <c r="H185" s="970" t="s">
        <v>560</v>
      </c>
      <c r="I185" s="971" t="s">
        <v>560</v>
      </c>
    </row>
    <row r="186" spans="1:9" ht="12.45" customHeight="1">
      <c r="A186" s="201"/>
      <c r="B186" s="969"/>
      <c r="C186" s="971"/>
      <c r="D186" s="204"/>
      <c r="E186" s="969" t="s">
        <v>561</v>
      </c>
      <c r="F186" s="970" t="s">
        <v>561</v>
      </c>
      <c r="G186" s="970" t="s">
        <v>561</v>
      </c>
      <c r="H186" s="970" t="s">
        <v>561</v>
      </c>
      <c r="I186" s="971" t="s">
        <v>561</v>
      </c>
    </row>
    <row r="187" spans="1:9" ht="12.45" customHeight="1">
      <c r="A187" s="201"/>
      <c r="B187" s="966"/>
      <c r="C187" s="968"/>
      <c r="D187" s="204"/>
      <c r="E187" s="969" t="s">
        <v>562</v>
      </c>
      <c r="F187" s="970" t="s">
        <v>562</v>
      </c>
      <c r="G187" s="970" t="s">
        <v>562</v>
      </c>
      <c r="H187" s="970" t="s">
        <v>562</v>
      </c>
      <c r="I187" s="971" t="s">
        <v>562</v>
      </c>
    </row>
    <row r="188" spans="1:9" ht="12.45" customHeight="1">
      <c r="A188" s="201"/>
      <c r="B188" s="966"/>
      <c r="C188" s="968"/>
      <c r="D188" s="204"/>
      <c r="E188" s="969" t="s">
        <v>563</v>
      </c>
      <c r="F188" s="970" t="s">
        <v>563</v>
      </c>
      <c r="G188" s="970" t="s">
        <v>563</v>
      </c>
      <c r="H188" s="970" t="s">
        <v>563</v>
      </c>
      <c r="I188" s="971" t="s">
        <v>563</v>
      </c>
    </row>
    <row r="189" spans="1:9" ht="12.45" customHeight="1">
      <c r="A189" s="201"/>
      <c r="B189" s="966"/>
      <c r="C189" s="968"/>
      <c r="D189" s="204"/>
      <c r="E189" s="969" t="s">
        <v>564</v>
      </c>
      <c r="F189" s="970" t="s">
        <v>564</v>
      </c>
      <c r="G189" s="970" t="s">
        <v>564</v>
      </c>
      <c r="H189" s="970" t="s">
        <v>564</v>
      </c>
      <c r="I189" s="971" t="s">
        <v>564</v>
      </c>
    </row>
    <row r="190" spans="1:9">
      <c r="A190" s="201"/>
      <c r="B190" s="204"/>
      <c r="C190" s="204"/>
      <c r="D190" s="204"/>
      <c r="E190" s="204"/>
    </row>
    <row r="191" spans="1:9">
      <c r="A191" s="201"/>
      <c r="B191" s="204"/>
      <c r="C191" s="204"/>
      <c r="D191" s="204"/>
      <c r="E191" s="204"/>
    </row>
    <row r="192" spans="1:9">
      <c r="A192" s="201"/>
      <c r="B192" s="974" t="str">
        <f>B97</f>
        <v>NGET (TO)</v>
      </c>
      <c r="C192" s="975"/>
      <c r="D192" s="204"/>
      <c r="E192" s="974" t="str">
        <f>B98</f>
        <v>NGET (SO)</v>
      </c>
      <c r="F192" s="999"/>
      <c r="G192" s="999"/>
      <c r="H192" s="999"/>
      <c r="I192" s="978"/>
    </row>
    <row r="193" spans="1:9" ht="12.75" customHeight="1">
      <c r="A193" s="201"/>
      <c r="B193" s="972" t="s">
        <v>218</v>
      </c>
      <c r="C193" s="973"/>
      <c r="D193" s="204"/>
      <c r="E193" s="969" t="s">
        <v>565</v>
      </c>
      <c r="F193" s="970" t="s">
        <v>565</v>
      </c>
      <c r="G193" s="970" t="s">
        <v>565</v>
      </c>
      <c r="H193" s="970" t="s">
        <v>565</v>
      </c>
      <c r="I193" s="971" t="s">
        <v>565</v>
      </c>
    </row>
    <row r="194" spans="1:9" ht="12.75" customHeight="1">
      <c r="A194" s="201"/>
      <c r="B194" s="969" t="s">
        <v>219</v>
      </c>
      <c r="C194" s="971"/>
      <c r="D194" s="204"/>
      <c r="E194" s="969" t="s">
        <v>566</v>
      </c>
      <c r="F194" s="970" t="s">
        <v>566</v>
      </c>
      <c r="G194" s="970" t="s">
        <v>566</v>
      </c>
      <c r="H194" s="970" t="s">
        <v>566</v>
      </c>
      <c r="I194" s="971" t="s">
        <v>566</v>
      </c>
    </row>
    <row r="195" spans="1:9" ht="12.75" customHeight="1">
      <c r="A195" s="201"/>
      <c r="B195" s="969" t="s">
        <v>220</v>
      </c>
      <c r="C195" s="971"/>
      <c r="D195" s="204"/>
      <c r="E195" s="969" t="s">
        <v>567</v>
      </c>
      <c r="F195" s="970" t="s">
        <v>567</v>
      </c>
      <c r="G195" s="970" t="s">
        <v>567</v>
      </c>
      <c r="H195" s="970" t="s">
        <v>567</v>
      </c>
      <c r="I195" s="971" t="s">
        <v>567</v>
      </c>
    </row>
    <row r="196" spans="1:9" ht="12.75" customHeight="1">
      <c r="A196" s="201"/>
      <c r="B196" s="969" t="s">
        <v>221</v>
      </c>
      <c r="C196" s="971"/>
      <c r="D196" s="204"/>
      <c r="E196" s="969"/>
      <c r="F196" s="970"/>
      <c r="G196" s="970"/>
      <c r="H196" s="970"/>
      <c r="I196" s="971"/>
    </row>
    <row r="197" spans="1:9" ht="12.75" customHeight="1">
      <c r="A197" s="201"/>
      <c r="B197" s="966"/>
      <c r="C197" s="968"/>
      <c r="D197" s="204"/>
      <c r="E197" s="966"/>
      <c r="F197" s="967"/>
      <c r="G197" s="967"/>
      <c r="H197" s="967"/>
      <c r="I197" s="968"/>
    </row>
    <row r="198" spans="1:9" ht="12.75" customHeight="1">
      <c r="A198" s="201"/>
      <c r="B198" s="966"/>
      <c r="C198" s="968"/>
      <c r="D198" s="204"/>
      <c r="E198" s="966"/>
      <c r="F198" s="967"/>
      <c r="G198" s="967"/>
      <c r="H198" s="967"/>
      <c r="I198" s="968"/>
    </row>
    <row r="199" spans="1:9" ht="12.75" customHeight="1">
      <c r="A199" s="201"/>
      <c r="B199" s="966"/>
      <c r="C199" s="968"/>
      <c r="D199" s="204"/>
      <c r="E199" s="966"/>
      <c r="F199" s="967"/>
      <c r="G199" s="967"/>
      <c r="H199" s="967"/>
      <c r="I199" s="968"/>
    </row>
    <row r="200" spans="1:9" s="31" customFormat="1" ht="12.75" customHeight="1">
      <c r="A200" s="788"/>
      <c r="B200" s="788"/>
      <c r="C200" s="788"/>
      <c r="D200" s="789"/>
      <c r="E200" s="790"/>
      <c r="F200" s="790"/>
      <c r="G200" s="790"/>
      <c r="H200" s="790"/>
      <c r="I200" s="790"/>
    </row>
    <row r="201" spans="1:9" s="31" customFormat="1" ht="12.75" customHeight="1">
      <c r="A201" s="788"/>
      <c r="B201" s="788"/>
      <c r="C201" s="788"/>
      <c r="D201" s="789"/>
      <c r="E201" s="790"/>
      <c r="F201" s="790"/>
      <c r="G201" s="790"/>
      <c r="H201" s="790"/>
      <c r="I201" s="790"/>
    </row>
    <row r="202" spans="1:9">
      <c r="A202" s="201"/>
      <c r="B202" s="974" t="str">
        <f>B145</f>
        <v>SPT</v>
      </c>
      <c r="C202" s="975"/>
      <c r="D202" s="204"/>
      <c r="E202" s="974" t="str">
        <f>B100</f>
        <v>SHET</v>
      </c>
      <c r="F202" s="999"/>
      <c r="G202" s="999"/>
      <c r="H202" s="999"/>
      <c r="I202" s="978"/>
    </row>
    <row r="203" spans="1:9" ht="12.75" customHeight="1">
      <c r="A203" s="201"/>
      <c r="B203" s="972" t="s">
        <v>218</v>
      </c>
      <c r="C203" s="973"/>
      <c r="D203" s="204"/>
      <c r="E203" s="972" t="s">
        <v>218</v>
      </c>
      <c r="F203" s="1002"/>
      <c r="G203" s="1002"/>
      <c r="H203" s="1002"/>
      <c r="I203" s="973"/>
    </row>
    <row r="204" spans="1:9" ht="12.75" customHeight="1">
      <c r="A204" s="201"/>
      <c r="B204" s="969" t="s">
        <v>219</v>
      </c>
      <c r="C204" s="971"/>
      <c r="D204" s="204"/>
      <c r="E204" s="969" t="s">
        <v>219</v>
      </c>
      <c r="F204" s="970"/>
      <c r="G204" s="970"/>
      <c r="H204" s="970"/>
      <c r="I204" s="971"/>
    </row>
    <row r="205" spans="1:9" ht="12.75" customHeight="1">
      <c r="A205" s="201"/>
      <c r="B205" s="969" t="s">
        <v>220</v>
      </c>
      <c r="C205" s="971"/>
      <c r="D205" s="204"/>
      <c r="E205" s="969" t="s">
        <v>220</v>
      </c>
      <c r="F205" s="970"/>
      <c r="G205" s="970"/>
      <c r="H205" s="970"/>
      <c r="I205" s="971"/>
    </row>
    <row r="206" spans="1:9" ht="12.75" customHeight="1">
      <c r="A206" s="201"/>
      <c r="B206" s="969" t="s">
        <v>221</v>
      </c>
      <c r="C206" s="971"/>
      <c r="D206" s="204"/>
      <c r="E206" s="969" t="s">
        <v>221</v>
      </c>
      <c r="F206" s="970"/>
      <c r="G206" s="970"/>
      <c r="H206" s="970"/>
      <c r="I206" s="971"/>
    </row>
    <row r="207" spans="1:9" ht="12.75" customHeight="1">
      <c r="A207" s="201"/>
      <c r="B207" s="966" t="s">
        <v>222</v>
      </c>
      <c r="C207" s="968"/>
      <c r="D207" s="204"/>
      <c r="E207" s="966" t="s">
        <v>222</v>
      </c>
      <c r="F207" s="967"/>
      <c r="G207" s="967"/>
      <c r="H207" s="967"/>
      <c r="I207" s="968"/>
    </row>
    <row r="208" spans="1:9" ht="12.75" customHeight="1">
      <c r="A208" s="201"/>
      <c r="B208" s="966"/>
      <c r="C208" s="968"/>
      <c r="D208" s="204"/>
      <c r="E208" s="966"/>
      <c r="F208" s="967"/>
      <c r="G208" s="967"/>
      <c r="H208" s="967"/>
      <c r="I208" s="968"/>
    </row>
    <row r="209" spans="1:14" ht="12.75" customHeight="1">
      <c r="A209" s="201"/>
      <c r="B209" s="966"/>
      <c r="C209" s="968"/>
      <c r="D209" s="204"/>
      <c r="E209" s="966"/>
      <c r="F209" s="967"/>
      <c r="G209" s="967"/>
      <c r="H209" s="967"/>
      <c r="I209" s="968"/>
    </row>
    <row r="210" spans="1:14">
      <c r="A210" s="201"/>
      <c r="D210" s="204"/>
      <c r="E210" s="204"/>
    </row>
    <row r="211" spans="1:14">
      <c r="A211" s="201"/>
      <c r="D211" s="204"/>
      <c r="E211" s="204"/>
    </row>
    <row r="212" spans="1:14" ht="12.75" customHeight="1">
      <c r="A212" s="201"/>
      <c r="B212" s="976" t="s">
        <v>240</v>
      </c>
      <c r="C212" s="976"/>
      <c r="D212" s="976"/>
      <c r="E212" s="283"/>
      <c r="F212" s="215"/>
      <c r="G212" s="215"/>
      <c r="H212" s="215"/>
      <c r="I212" s="215"/>
      <c r="J212" s="215"/>
      <c r="K212" s="215"/>
      <c r="L212" s="215"/>
      <c r="M212" s="215"/>
      <c r="N212" s="215"/>
    </row>
    <row r="213" spans="1:14">
      <c r="A213" s="201"/>
      <c r="B213" s="204"/>
      <c r="C213" s="204"/>
      <c r="D213" s="204"/>
      <c r="E213" s="204"/>
    </row>
    <row r="214" spans="1:14" ht="25.2">
      <c r="A214" s="201"/>
      <c r="B214" s="206" t="s">
        <v>129</v>
      </c>
      <c r="C214" s="205" t="s">
        <v>208</v>
      </c>
      <c r="D214" s="204"/>
      <c r="E214" s="204"/>
    </row>
    <row r="215" spans="1:14" ht="25.2">
      <c r="A215" s="201"/>
      <c r="B215" s="207" t="s">
        <v>130</v>
      </c>
      <c r="C215" s="287" t="s">
        <v>209</v>
      </c>
      <c r="D215" s="204"/>
      <c r="E215" s="204"/>
    </row>
    <row r="216" spans="1:14">
      <c r="B216" s="302"/>
      <c r="C216" s="42"/>
      <c r="D216" s="42"/>
      <c r="E216" s="42"/>
      <c r="F216" s="42"/>
      <c r="G216" s="42"/>
      <c r="H216" s="42"/>
      <c r="I216" s="42"/>
      <c r="J216" s="42"/>
    </row>
    <row r="217" spans="1:14">
      <c r="B217" s="202"/>
      <c r="I217" s="67"/>
    </row>
    <row r="218" spans="1:14">
      <c r="B218" s="804" t="s">
        <v>413</v>
      </c>
      <c r="I218" s="67"/>
    </row>
    <row r="219" spans="1:14">
      <c r="B219" s="806" t="s">
        <v>290</v>
      </c>
    </row>
    <row r="220" spans="1:14">
      <c r="B220" s="807" t="s">
        <v>289</v>
      </c>
    </row>
    <row r="221" spans="1:14">
      <c r="B221" s="810" t="s">
        <v>287</v>
      </c>
    </row>
    <row r="222" spans="1:14">
      <c r="B222" s="808"/>
    </row>
    <row r="223" spans="1:14">
      <c r="B223" s="211"/>
    </row>
    <row r="224" spans="1:14">
      <c r="B224" s="805" t="s">
        <v>285</v>
      </c>
    </row>
    <row r="225" spans="2:2">
      <c r="B225" s="809" t="s">
        <v>414</v>
      </c>
    </row>
    <row r="226" spans="2:2">
      <c r="B226" s="807" t="s">
        <v>415</v>
      </c>
    </row>
    <row r="227" spans="2:2">
      <c r="B227" s="807" t="s">
        <v>296</v>
      </c>
    </row>
    <row r="228" spans="2:2">
      <c r="B228" s="807" t="s">
        <v>416</v>
      </c>
    </row>
    <row r="229" spans="2:2">
      <c r="B229" s="807" t="s">
        <v>417</v>
      </c>
    </row>
    <row r="230" spans="2:2">
      <c r="B230" s="807" t="s">
        <v>288</v>
      </c>
    </row>
    <row r="231" spans="2:2">
      <c r="B231" s="807" t="s">
        <v>418</v>
      </c>
    </row>
    <row r="232" spans="2:2">
      <c r="B232" s="807"/>
    </row>
    <row r="233" spans="2:2">
      <c r="B233" s="808"/>
    </row>
    <row r="234" spans="2:2">
      <c r="B234" s="211"/>
    </row>
    <row r="235" spans="2:2">
      <c r="B235" s="805" t="s">
        <v>295</v>
      </c>
    </row>
    <row r="236" spans="2:2">
      <c r="B236" s="809" t="s">
        <v>419</v>
      </c>
    </row>
    <row r="237" spans="2:2">
      <c r="B237" s="807" t="s">
        <v>420</v>
      </c>
    </row>
    <row r="238" spans="2:2">
      <c r="B238" s="807" t="s">
        <v>421</v>
      </c>
    </row>
    <row r="239" spans="2:2">
      <c r="B239" s="807" t="s">
        <v>422</v>
      </c>
    </row>
    <row r="240" spans="2:2">
      <c r="B240" s="807" t="s">
        <v>423</v>
      </c>
    </row>
    <row r="241" spans="2:2">
      <c r="B241" s="808"/>
    </row>
    <row r="242" spans="2:2">
      <c r="B242" s="211"/>
    </row>
    <row r="243" spans="2:2">
      <c r="B243" s="805" t="s">
        <v>424</v>
      </c>
    </row>
    <row r="244" spans="2:2">
      <c r="B244" s="809" t="s">
        <v>425</v>
      </c>
    </row>
    <row r="245" spans="2:2">
      <c r="B245" s="807" t="s">
        <v>426</v>
      </c>
    </row>
    <row r="246" spans="2:2">
      <c r="B246" s="808"/>
    </row>
    <row r="247" spans="2:2">
      <c r="B247" s="211"/>
    </row>
    <row r="248" spans="2:2">
      <c r="B248" s="805" t="s">
        <v>427</v>
      </c>
    </row>
    <row r="249" spans="2:2">
      <c r="B249" s="809" t="s">
        <v>468</v>
      </c>
    </row>
    <row r="250" spans="2:2">
      <c r="B250" s="807" t="s">
        <v>467</v>
      </c>
    </row>
    <row r="251" spans="2:2">
      <c r="B251" s="808" t="s">
        <v>270</v>
      </c>
    </row>
    <row r="252" spans="2:2">
      <c r="B252" s="211"/>
    </row>
    <row r="253" spans="2:2">
      <c r="B253" s="805" t="s">
        <v>286</v>
      </c>
    </row>
    <row r="254" spans="2:2">
      <c r="B254" s="809" t="s">
        <v>428</v>
      </c>
    </row>
    <row r="255" spans="2:2">
      <c r="B255" s="807" t="s">
        <v>472</v>
      </c>
    </row>
    <row r="256" spans="2:2">
      <c r="B256" s="807"/>
    </row>
    <row r="257" spans="2:2">
      <c r="B257" s="808"/>
    </row>
    <row r="258" spans="2:2">
      <c r="B258" s="211"/>
    </row>
    <row r="259" spans="2:2">
      <c r="B259" s="805" t="s">
        <v>291</v>
      </c>
    </row>
    <row r="260" spans="2:2">
      <c r="B260" s="809" t="s">
        <v>292</v>
      </c>
    </row>
    <row r="261" spans="2:2">
      <c r="B261" s="807" t="s">
        <v>297</v>
      </c>
    </row>
    <row r="262" spans="2:2">
      <c r="B262" s="807"/>
    </row>
    <row r="263" spans="2:2">
      <c r="B263" s="808"/>
    </row>
    <row r="264" spans="2:2">
      <c r="B264" s="211"/>
    </row>
    <row r="265" spans="2:2">
      <c r="B265" s="805" t="s">
        <v>429</v>
      </c>
    </row>
    <row r="266" spans="2:2">
      <c r="B266" s="809" t="s">
        <v>290</v>
      </c>
    </row>
    <row r="267" spans="2:2">
      <c r="B267" s="807" t="s">
        <v>289</v>
      </c>
    </row>
    <row r="268" spans="2:2">
      <c r="B268" s="808"/>
    </row>
  </sheetData>
  <mergeCells count="76">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38:M38"/>
    <mergeCell ref="K39:M39"/>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81" priority="21">
      <formula>AND(#REF!="Actuals",#REF!="Forecast")</formula>
    </cfRule>
  </conditionalFormatting>
  <conditionalFormatting sqref="C47">
    <cfRule type="expression" dxfId="80" priority="19">
      <formula>AND(#REF!="Actuals",#REF!="Forecast")</formula>
    </cfRule>
  </conditionalFormatting>
  <conditionalFormatting sqref="C50:J50">
    <cfRule type="expression" dxfId="79" priority="18">
      <formula>AND(#REF!="Actuals",#REF!="Forecast")</formula>
    </cfRule>
  </conditionalFormatting>
  <conditionalFormatting sqref="B14:D30">
    <cfRule type="cellIs" dxfId="78" priority="15" operator="equal">
      <formula>"Forecast"</formula>
    </cfRule>
  </conditionalFormatting>
  <conditionalFormatting sqref="B23:C30 E25:F27">
    <cfRule type="expression" dxfId="77" priority="112">
      <formula>$D13="Forecast"</formula>
    </cfRule>
  </conditionalFormatting>
  <conditionalFormatting sqref="K71">
    <cfRule type="expression" dxfId="76" priority="6">
      <formula>AND(#REF!="Actuals",#REF!="Forecast")</formula>
    </cfRule>
  </conditionalFormatting>
  <conditionalFormatting sqref="K72:T72">
    <cfRule type="expression" dxfId="75" priority="5">
      <formula>AND(#REF!="Actuals",#REF!="Forecast")</formula>
    </cfRule>
  </conditionalFormatting>
  <conditionalFormatting sqref="C62:L62">
    <cfRule type="expression" dxfId="74" priority="4">
      <formula>AND(#REF!="Actuals",#REF!="Forecast")</formula>
    </cfRule>
  </conditionalFormatting>
  <conditionalFormatting sqref="C118:L118">
    <cfRule type="expression" dxfId="73" priority="2">
      <formula>AND(#REF!="Actuals",#REF!="Forecast")</formula>
    </cfRule>
  </conditionalFormatting>
  <hyperlinks>
    <hyperlink ref="K39" r:id="rId1" display="August 2018 Publication"/>
    <hyperlink ref="K39:M39" r:id="rId2" display="May 2020 Publication"/>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1"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9"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70" zoomScaleNormal="70" workbookViewId="0">
      <pane ySplit="3" topLeftCell="A4" activePane="bottomLeft" state="frozen"/>
      <selection activeCell="B75" sqref="A1:XFD1048576"/>
      <selection pane="bottomLeft" activeCell="C11" sqref="C11"/>
    </sheetView>
  </sheetViews>
  <sheetFormatPr defaultRowHeight="12.6"/>
  <cols>
    <col min="1" max="1" width="8.36328125" customWidth="1"/>
    <col min="2" max="2" width="23.7265625" customWidth="1"/>
    <col min="3" max="3" width="25.7265625" customWidth="1"/>
    <col min="4" max="4" width="9.7265625" customWidth="1"/>
  </cols>
  <sheetData>
    <row r="1" spans="1:14" s="31" customFormat="1" ht="21">
      <c r="A1" s="896" t="s">
        <v>83</v>
      </c>
      <c r="B1" s="896"/>
      <c r="C1" s="896"/>
      <c r="D1" s="896"/>
      <c r="E1" s="896"/>
      <c r="F1" s="896"/>
      <c r="G1" s="896"/>
      <c r="H1" s="896"/>
      <c r="I1" s="32" t="s">
        <v>84</v>
      </c>
      <c r="J1" s="33"/>
      <c r="K1" s="33"/>
      <c r="L1" s="33"/>
      <c r="M1" s="33"/>
    </row>
    <row r="2" spans="1:14" s="31" customFormat="1" ht="21">
      <c r="A2" s="896" t="str">
        <f>'RFPR cover'!C5</f>
        <v>WPD-WMID</v>
      </c>
      <c r="B2" s="896"/>
      <c r="C2" s="896"/>
      <c r="D2" s="896"/>
      <c r="E2" s="896"/>
      <c r="F2" s="896"/>
      <c r="G2" s="896"/>
      <c r="H2" s="896"/>
      <c r="I2" s="33"/>
      <c r="J2" s="33"/>
      <c r="K2" s="33"/>
      <c r="L2" s="33"/>
      <c r="M2" s="33"/>
      <c r="N2" s="361"/>
    </row>
    <row r="3" spans="1:14" s="31" customFormat="1" ht="21">
      <c r="A3" s="896">
        <f>'RFPR cover'!C7</f>
        <v>2020</v>
      </c>
      <c r="B3" s="896"/>
      <c r="C3" s="896"/>
      <c r="D3" s="896"/>
      <c r="E3" s="896"/>
      <c r="F3" s="896"/>
      <c r="G3" s="896"/>
      <c r="H3" s="896"/>
      <c r="I3" s="33"/>
      <c r="J3" s="33"/>
      <c r="K3" s="33"/>
      <c r="L3" s="33"/>
      <c r="M3" s="33"/>
      <c r="N3" s="361"/>
    </row>
    <row r="4" spans="1:14">
      <c r="A4" s="24"/>
      <c r="B4" s="24"/>
      <c r="C4" s="24"/>
      <c r="D4" s="24"/>
      <c r="E4" s="24"/>
      <c r="F4" s="24"/>
      <c r="G4" s="24"/>
      <c r="H4" s="24"/>
      <c r="I4" s="543"/>
      <c r="J4" s="543"/>
      <c r="K4" s="543"/>
      <c r="L4" s="543"/>
      <c r="M4" s="543"/>
      <c r="N4" s="42"/>
    </row>
    <row r="5" spans="1:14">
      <c r="A5" s="24"/>
      <c r="B5" s="24"/>
      <c r="C5" s="24"/>
      <c r="D5" s="24"/>
      <c r="E5" s="24"/>
      <c r="F5" s="24"/>
      <c r="G5" s="24"/>
      <c r="H5" s="24"/>
      <c r="I5" s="543"/>
      <c r="J5" s="543"/>
      <c r="K5" s="543"/>
      <c r="L5" s="543"/>
      <c r="M5" s="543"/>
      <c r="N5" s="42"/>
    </row>
    <row r="6" spans="1:14">
      <c r="A6" s="24"/>
      <c r="B6" s="25" t="s">
        <v>85</v>
      </c>
      <c r="C6" s="24"/>
      <c r="D6" s="24"/>
      <c r="E6" s="24"/>
      <c r="F6" s="24"/>
      <c r="G6" s="24"/>
      <c r="H6" s="24"/>
      <c r="I6" s="543"/>
      <c r="J6" s="543"/>
      <c r="K6" s="543"/>
      <c r="L6" s="543"/>
      <c r="M6" s="543"/>
      <c r="N6" s="42"/>
    </row>
    <row r="7" spans="1:14">
      <c r="A7" s="24"/>
      <c r="B7" s="24"/>
      <c r="C7" s="24"/>
      <c r="D7" s="24"/>
      <c r="E7" s="24"/>
      <c r="F7" s="24"/>
      <c r="G7" s="24"/>
      <c r="H7" s="24"/>
      <c r="I7" s="543"/>
      <c r="J7" s="543"/>
      <c r="K7" s="543"/>
      <c r="L7" s="543"/>
      <c r="M7" s="543"/>
      <c r="N7" s="42"/>
    </row>
    <row r="8" spans="1:14">
      <c r="A8" s="24"/>
      <c r="B8" s="47" t="s">
        <v>86</v>
      </c>
      <c r="C8" s="47" t="s">
        <v>87</v>
      </c>
      <c r="D8" s="1005" t="s">
        <v>88</v>
      </c>
      <c r="E8" s="1006"/>
      <c r="F8" s="1006"/>
      <c r="G8" s="1006"/>
      <c r="H8" s="1006"/>
      <c r="I8" s="543"/>
      <c r="J8" s="543"/>
      <c r="K8" s="543"/>
      <c r="L8" s="543"/>
      <c r="M8" s="543"/>
      <c r="N8" s="42"/>
    </row>
    <row r="9" spans="1:14">
      <c r="A9" s="24"/>
      <c r="B9" s="26" t="s">
        <v>89</v>
      </c>
      <c r="C9" s="46">
        <v>44043</v>
      </c>
      <c r="D9" s="1003"/>
      <c r="E9" s="1004"/>
      <c r="F9" s="1004"/>
      <c r="G9" s="1004"/>
      <c r="H9" s="1004"/>
      <c r="I9" s="24"/>
      <c r="J9" s="24"/>
      <c r="K9" s="24"/>
      <c r="L9" s="24"/>
      <c r="M9" s="24"/>
    </row>
    <row r="10" spans="1:14" ht="26.4" customHeight="1">
      <c r="A10" s="24"/>
      <c r="B10" s="26" t="s">
        <v>90</v>
      </c>
      <c r="C10" s="1012">
        <v>44117</v>
      </c>
      <c r="D10" s="1013" t="s">
        <v>653</v>
      </c>
      <c r="E10" s="1014"/>
      <c r="F10" s="1014"/>
      <c r="G10" s="1014"/>
      <c r="H10" s="1014"/>
      <c r="I10" s="24"/>
      <c r="J10" s="24"/>
      <c r="K10" s="24"/>
      <c r="L10" s="24"/>
      <c r="M10" s="24"/>
    </row>
    <row r="11" spans="1:14">
      <c r="A11" s="24"/>
      <c r="B11" s="26" t="s">
        <v>91</v>
      </c>
      <c r="C11" s="46"/>
      <c r="D11" s="1003"/>
      <c r="E11" s="1004"/>
      <c r="F11" s="1004"/>
      <c r="G11" s="1004"/>
      <c r="H11" s="1004"/>
      <c r="I11" s="24"/>
      <c r="J11" s="24"/>
      <c r="K11" s="24"/>
      <c r="L11" s="24"/>
      <c r="M11" s="24"/>
    </row>
    <row r="12" spans="1:14">
      <c r="A12" s="24"/>
      <c r="B12" s="26" t="s">
        <v>92</v>
      </c>
      <c r="C12" s="46"/>
      <c r="D12" s="1003"/>
      <c r="E12" s="1004"/>
      <c r="F12" s="1004"/>
      <c r="G12" s="1004"/>
      <c r="H12" s="1004"/>
      <c r="I12" s="24"/>
      <c r="J12" s="24"/>
      <c r="K12" s="24"/>
      <c r="L12" s="24"/>
      <c r="M12" s="24"/>
    </row>
    <row r="13" spans="1:14">
      <c r="A13" s="24"/>
      <c r="B13" s="26" t="s">
        <v>93</v>
      </c>
      <c r="C13" s="46"/>
      <c r="D13" s="1003"/>
      <c r="E13" s="1004"/>
      <c r="F13" s="1004"/>
      <c r="G13" s="1004"/>
      <c r="H13" s="1004"/>
      <c r="I13" s="24"/>
      <c r="J13" s="24"/>
      <c r="K13" s="24"/>
      <c r="L13" s="24"/>
      <c r="M13" s="24"/>
    </row>
    <row r="14" spans="1:14">
      <c r="A14" s="24"/>
      <c r="B14" s="26" t="s">
        <v>94</v>
      </c>
      <c r="C14" s="46"/>
      <c r="D14" s="1003"/>
      <c r="E14" s="1004"/>
      <c r="F14" s="1004"/>
      <c r="G14" s="1004"/>
      <c r="H14" s="1004"/>
      <c r="I14" s="24"/>
      <c r="J14" s="24"/>
      <c r="K14" s="24"/>
      <c r="L14" s="24"/>
      <c r="M14" s="24"/>
    </row>
    <row r="15" spans="1:14">
      <c r="A15" s="24"/>
      <c r="B15" s="26" t="s">
        <v>95</v>
      </c>
      <c r="C15" s="46"/>
      <c r="D15" s="1003"/>
      <c r="E15" s="1004"/>
      <c r="F15" s="1004"/>
      <c r="G15" s="1004"/>
      <c r="H15" s="1004"/>
      <c r="I15" s="24"/>
      <c r="J15" s="24"/>
      <c r="K15" s="24"/>
      <c r="L15" s="24"/>
      <c r="M15" s="24"/>
    </row>
    <row r="16" spans="1:14">
      <c r="A16" s="24"/>
      <c r="B16" s="26" t="s">
        <v>96</v>
      </c>
      <c r="C16" s="46"/>
      <c r="D16" s="1003"/>
      <c r="E16" s="1004"/>
      <c r="F16" s="1004"/>
      <c r="G16" s="1004"/>
      <c r="H16" s="1004"/>
      <c r="I16" s="24"/>
      <c r="J16" s="24"/>
      <c r="K16" s="24"/>
      <c r="L16" s="24"/>
      <c r="M16" s="24"/>
    </row>
    <row r="17" spans="1:13">
      <c r="A17" s="24"/>
      <c r="B17" s="26" t="s">
        <v>97</v>
      </c>
      <c r="C17" s="46"/>
      <c r="D17" s="1003"/>
      <c r="E17" s="1004"/>
      <c r="F17" s="1004"/>
      <c r="G17" s="1004"/>
      <c r="H17" s="1004"/>
      <c r="I17" s="24"/>
      <c r="J17" s="24"/>
      <c r="K17" s="24"/>
      <c r="L17" s="24"/>
      <c r="M17" s="24"/>
    </row>
    <row r="18" spans="1:13">
      <c r="A18" s="24"/>
      <c r="B18" s="26" t="s">
        <v>98</v>
      </c>
      <c r="C18" s="46"/>
      <c r="D18" s="1003"/>
      <c r="E18" s="1004"/>
      <c r="F18" s="1004"/>
      <c r="G18" s="1004"/>
      <c r="H18" s="1004"/>
      <c r="I18" s="24"/>
      <c r="J18" s="24"/>
      <c r="K18" s="24"/>
      <c r="L18" s="24"/>
      <c r="M18" s="24"/>
    </row>
    <row r="19" spans="1:13">
      <c r="A19" s="24"/>
      <c r="B19" s="24"/>
      <c r="C19" s="24"/>
      <c r="D19" s="24"/>
      <c r="E19" s="24"/>
      <c r="F19" s="24"/>
      <c r="G19" s="24"/>
      <c r="H19" s="24"/>
      <c r="I19" s="24"/>
      <c r="J19" s="24"/>
      <c r="K19" s="24"/>
      <c r="L19" s="24"/>
      <c r="M19" s="24"/>
    </row>
    <row r="20" spans="1:13">
      <c r="A20" s="24"/>
      <c r="B20" s="211"/>
      <c r="C20" s="24"/>
      <c r="D20" s="24"/>
      <c r="E20" s="24"/>
      <c r="F20" s="24"/>
      <c r="G20" s="24"/>
      <c r="H20" s="24"/>
      <c r="I20" s="24"/>
      <c r="J20" s="24"/>
      <c r="K20" s="24"/>
      <c r="L20" s="24"/>
    </row>
    <row r="21" spans="1:13">
      <c r="A21" s="24"/>
      <c r="B21" s="284" t="s">
        <v>263</v>
      </c>
      <c r="C21" s="24"/>
      <c r="D21" s="24"/>
      <c r="E21" s="24"/>
      <c r="F21" s="24"/>
      <c r="G21" s="24"/>
      <c r="H21" s="24"/>
      <c r="I21" s="24"/>
      <c r="J21" s="24"/>
      <c r="K21" s="24"/>
      <c r="L21" s="24"/>
    </row>
    <row r="22" spans="1:13">
      <c r="A22" s="24"/>
      <c r="B22" s="284" t="s">
        <v>119</v>
      </c>
      <c r="C22" s="24"/>
      <c r="D22" s="24"/>
      <c r="E22" s="24"/>
      <c r="F22" s="24"/>
      <c r="G22" s="24"/>
      <c r="H22" s="24"/>
      <c r="I22" s="24"/>
      <c r="J22" s="24"/>
      <c r="K22" s="24"/>
      <c r="L22" s="24"/>
    </row>
    <row r="23" spans="1:13">
      <c r="A23" s="24"/>
      <c r="B23" s="284" t="s">
        <v>264</v>
      </c>
      <c r="C23" s="24"/>
      <c r="D23" s="24"/>
      <c r="E23" s="24"/>
      <c r="F23" s="24"/>
      <c r="G23" s="24"/>
      <c r="H23" s="24"/>
      <c r="I23" s="24"/>
      <c r="J23" s="24"/>
      <c r="K23" s="24"/>
      <c r="L23" s="24"/>
    </row>
    <row r="24" spans="1:13">
      <c r="B24" s="284" t="s">
        <v>99</v>
      </c>
    </row>
    <row r="25" spans="1:13">
      <c r="B25" s="284" t="s">
        <v>262</v>
      </c>
    </row>
    <row r="26" spans="1:13">
      <c r="B26" s="284" t="s">
        <v>100</v>
      </c>
    </row>
    <row r="27" spans="1:13">
      <c r="B27" s="284" t="s">
        <v>265</v>
      </c>
    </row>
    <row r="28" spans="1:13">
      <c r="B28" s="284" t="s">
        <v>281</v>
      </c>
      <c r="C28" t="s">
        <v>664</v>
      </c>
    </row>
    <row r="29" spans="1:13">
      <c r="B29" s="284" t="s">
        <v>237</v>
      </c>
    </row>
    <row r="30" spans="1:13">
      <c r="B30" s="284" t="s">
        <v>284</v>
      </c>
      <c r="C30" t="s">
        <v>664</v>
      </c>
    </row>
    <row r="31" spans="1:13">
      <c r="B31" s="284" t="s">
        <v>101</v>
      </c>
    </row>
    <row r="32" spans="1:13">
      <c r="B32" s="284" t="s">
        <v>261</v>
      </c>
    </row>
    <row r="33" spans="2:2">
      <c r="B33" s="284" t="s">
        <v>266</v>
      </c>
    </row>
    <row r="34" spans="2:2">
      <c r="B34" s="284" t="s">
        <v>259</v>
      </c>
    </row>
    <row r="35" spans="2:2">
      <c r="B35" s="284" t="s">
        <v>267</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66"/>
  <sheetViews>
    <sheetView showGridLines="0" zoomScale="70" zoomScaleNormal="70" workbookViewId="0">
      <pane ySplit="5" topLeftCell="A42" activePane="bottomLeft" state="frozen"/>
      <selection activeCell="B75" sqref="A1:XFD1048576"/>
      <selection pane="bottomLeft" activeCell="B59" sqref="B59"/>
    </sheetView>
  </sheetViews>
  <sheetFormatPr defaultRowHeight="12.6"/>
  <cols>
    <col min="1" max="1" width="19.08984375" bestFit="1" customWidth="1"/>
    <col min="2" max="2" width="12.08984375" bestFit="1" customWidth="1"/>
    <col min="3" max="3" width="104.08984375" customWidth="1"/>
    <col min="4" max="4" width="35.453125" customWidth="1"/>
  </cols>
  <sheetData>
    <row r="1" spans="1:4" s="31" customFormat="1" ht="21">
      <c r="A1" s="29" t="s">
        <v>121</v>
      </c>
      <c r="B1" s="29"/>
      <c r="C1" s="29"/>
      <c r="D1" s="29"/>
    </row>
    <row r="2" spans="1:4" s="31" customFormat="1" ht="21">
      <c r="A2" s="29" t="str">
        <f>'RFPR cover'!C5</f>
        <v>WPD-WMID</v>
      </c>
      <c r="B2" s="29"/>
      <c r="C2" s="29"/>
      <c r="D2" s="29"/>
    </row>
    <row r="3" spans="1:4" s="31" customFormat="1" ht="21">
      <c r="A3" s="29">
        <f>'RFPR cover'!C7</f>
        <v>2020</v>
      </c>
      <c r="B3" s="29"/>
      <c r="C3" s="29"/>
      <c r="D3" s="29"/>
    </row>
    <row r="4" spans="1:4" s="31" customFormat="1" ht="21">
      <c r="A4" s="837"/>
      <c r="B4" s="837"/>
      <c r="C4" s="837"/>
      <c r="D4" s="837"/>
    </row>
    <row r="5" spans="1:4" ht="27.6">
      <c r="A5" s="834" t="s">
        <v>451</v>
      </c>
      <c r="B5" s="835" t="s">
        <v>452</v>
      </c>
      <c r="C5" s="836" t="s">
        <v>453</v>
      </c>
    </row>
    <row r="6" spans="1:4">
      <c r="A6" s="332">
        <v>1.1000000000000001</v>
      </c>
      <c r="B6" s="843" t="s">
        <v>535</v>
      </c>
      <c r="C6" s="850" t="s">
        <v>536</v>
      </c>
    </row>
    <row r="7" spans="1:4">
      <c r="A7" s="332">
        <v>1.1000000000000001</v>
      </c>
      <c r="B7" s="843" t="s">
        <v>535</v>
      </c>
      <c r="C7" s="850" t="s">
        <v>537</v>
      </c>
    </row>
    <row r="8" spans="1:4">
      <c r="A8" s="332">
        <v>1.1000000000000001</v>
      </c>
      <c r="B8" s="842" t="s">
        <v>538</v>
      </c>
      <c r="C8" s="849" t="s">
        <v>539</v>
      </c>
    </row>
    <row r="9" spans="1:4" ht="25.2">
      <c r="A9" s="332">
        <v>1.1000000000000001</v>
      </c>
      <c r="B9" s="842" t="s">
        <v>541</v>
      </c>
      <c r="C9" s="849" t="s">
        <v>542</v>
      </c>
    </row>
    <row r="10" spans="1:4">
      <c r="A10" s="332">
        <v>1.1000000000000001</v>
      </c>
      <c r="B10" s="842" t="s">
        <v>541</v>
      </c>
      <c r="C10" s="849" t="s">
        <v>544</v>
      </c>
    </row>
    <row r="11" spans="1:4">
      <c r="A11" s="332">
        <v>1.1000000000000001</v>
      </c>
      <c r="B11" s="842" t="s">
        <v>546</v>
      </c>
      <c r="C11" s="849" t="s">
        <v>545</v>
      </c>
    </row>
    <row r="12" spans="1:4" ht="25.2">
      <c r="A12" s="332">
        <v>1.1000000000000001</v>
      </c>
      <c r="B12" s="842" t="s">
        <v>541</v>
      </c>
      <c r="C12" s="849" t="s">
        <v>547</v>
      </c>
    </row>
    <row r="13" spans="1:4" ht="50.4">
      <c r="A13" s="332">
        <v>1.1000000000000001</v>
      </c>
      <c r="B13" s="842" t="s">
        <v>541</v>
      </c>
      <c r="C13" s="849" t="s">
        <v>548</v>
      </c>
    </row>
    <row r="14" spans="1:4">
      <c r="A14" s="333">
        <v>1.1000000000000001</v>
      </c>
      <c r="B14" s="842" t="s">
        <v>549</v>
      </c>
      <c r="C14" s="849" t="s">
        <v>550</v>
      </c>
    </row>
    <row r="15" spans="1:4">
      <c r="A15" s="333">
        <v>1.1000000000000001</v>
      </c>
      <c r="B15" s="842" t="s">
        <v>538</v>
      </c>
      <c r="C15" s="849" t="s">
        <v>551</v>
      </c>
    </row>
    <row r="16" spans="1:4" ht="37.799999999999997">
      <c r="A16" s="333">
        <v>1.1000000000000001</v>
      </c>
      <c r="B16" s="842" t="s">
        <v>552</v>
      </c>
      <c r="C16" s="849" t="s">
        <v>553</v>
      </c>
    </row>
    <row r="17" spans="1:3">
      <c r="A17" s="333">
        <v>1.1000000000000001</v>
      </c>
      <c r="B17" s="842" t="s">
        <v>546</v>
      </c>
      <c r="C17" s="285" t="s">
        <v>554</v>
      </c>
    </row>
    <row r="18" spans="1:3">
      <c r="A18" s="333">
        <v>1.1000000000000001</v>
      </c>
      <c r="B18" s="842" t="s">
        <v>546</v>
      </c>
      <c r="C18" s="285" t="s">
        <v>555</v>
      </c>
    </row>
    <row r="19" spans="1:3">
      <c r="A19" s="333">
        <v>1.1000000000000001</v>
      </c>
      <c r="B19" s="842" t="s">
        <v>556</v>
      </c>
      <c r="C19" s="285" t="s">
        <v>557</v>
      </c>
    </row>
    <row r="20" spans="1:3" ht="25.2">
      <c r="A20" s="333">
        <v>1.1000000000000001</v>
      </c>
      <c r="B20" s="842" t="s">
        <v>556</v>
      </c>
      <c r="C20" s="285" t="s">
        <v>568</v>
      </c>
    </row>
    <row r="21" spans="1:3">
      <c r="A21" s="333">
        <v>1.1000000000000001</v>
      </c>
      <c r="B21" s="842" t="s">
        <v>569</v>
      </c>
      <c r="C21" s="285" t="s">
        <v>570</v>
      </c>
    </row>
    <row r="22" spans="1:3">
      <c r="A22" s="333">
        <v>1.1000000000000001</v>
      </c>
      <c r="B22" s="333" t="s">
        <v>549</v>
      </c>
      <c r="C22" s="285" t="s">
        <v>571</v>
      </c>
    </row>
    <row r="23" spans="1:3" ht="25.2">
      <c r="A23" s="333">
        <v>1.1000000000000001</v>
      </c>
      <c r="B23" s="842" t="s">
        <v>549</v>
      </c>
      <c r="C23" s="285" t="s">
        <v>572</v>
      </c>
    </row>
    <row r="24" spans="1:3" ht="25.2">
      <c r="A24" s="333">
        <v>1.1000000000000001</v>
      </c>
      <c r="B24" s="842" t="s">
        <v>552</v>
      </c>
      <c r="C24" s="285" t="s">
        <v>573</v>
      </c>
    </row>
    <row r="25" spans="1:3" ht="25.8" thickBot="1">
      <c r="A25" s="934">
        <v>1.1000000000000001</v>
      </c>
      <c r="B25" s="935" t="s">
        <v>556</v>
      </c>
      <c r="C25" s="936" t="s">
        <v>575</v>
      </c>
    </row>
    <row r="26" spans="1:3">
      <c r="A26" s="931">
        <v>1.1000000000000001</v>
      </c>
      <c r="B26" s="932" t="s">
        <v>549</v>
      </c>
      <c r="C26" s="933" t="s">
        <v>576</v>
      </c>
    </row>
    <row r="27" spans="1:3">
      <c r="A27" s="931">
        <v>1.1000000000000001</v>
      </c>
      <c r="B27" s="842" t="s">
        <v>556</v>
      </c>
      <c r="C27" s="285" t="s">
        <v>577</v>
      </c>
    </row>
    <row r="28" spans="1:3">
      <c r="A28" s="333">
        <v>1.1000000000000001</v>
      </c>
      <c r="B28" s="842" t="s">
        <v>546</v>
      </c>
      <c r="C28" s="285" t="s">
        <v>578</v>
      </c>
    </row>
    <row r="29" spans="1:3" ht="75.599999999999994">
      <c r="A29" s="938" t="s">
        <v>618</v>
      </c>
      <c r="B29" s="842" t="s">
        <v>556</v>
      </c>
      <c r="C29" s="849" t="s">
        <v>632</v>
      </c>
    </row>
    <row r="30" spans="1:3" ht="25.2">
      <c r="A30" s="938" t="s">
        <v>618</v>
      </c>
      <c r="B30" s="842" t="s">
        <v>607</v>
      </c>
      <c r="C30" s="285" t="s">
        <v>620</v>
      </c>
    </row>
    <row r="31" spans="1:3" ht="63">
      <c r="A31" s="938" t="s">
        <v>618</v>
      </c>
      <c r="B31" s="842" t="s">
        <v>607</v>
      </c>
      <c r="C31" s="849" t="s">
        <v>645</v>
      </c>
    </row>
    <row r="32" spans="1:3">
      <c r="A32" s="938" t="s">
        <v>618</v>
      </c>
      <c r="B32" s="842" t="s">
        <v>607</v>
      </c>
      <c r="C32" s="872" t="s">
        <v>651</v>
      </c>
    </row>
    <row r="33" spans="1:3" ht="25.2">
      <c r="A33" s="938" t="s">
        <v>618</v>
      </c>
      <c r="B33" s="842" t="s">
        <v>636</v>
      </c>
      <c r="C33" s="285" t="s">
        <v>637</v>
      </c>
    </row>
    <row r="34" spans="1:3">
      <c r="A34" s="938" t="s">
        <v>618</v>
      </c>
      <c r="B34" s="865" t="s">
        <v>636</v>
      </c>
      <c r="C34" s="285" t="s">
        <v>638</v>
      </c>
    </row>
    <row r="35" spans="1:3" ht="37.799999999999997">
      <c r="A35" s="938" t="s">
        <v>618</v>
      </c>
      <c r="B35" s="865" t="s">
        <v>636</v>
      </c>
      <c r="C35" s="285" t="s">
        <v>639</v>
      </c>
    </row>
    <row r="36" spans="1:3" ht="25.2">
      <c r="A36" s="938" t="s">
        <v>618</v>
      </c>
      <c r="B36" s="865" t="s">
        <v>541</v>
      </c>
      <c r="C36" s="285" t="s">
        <v>640</v>
      </c>
    </row>
    <row r="37" spans="1:3" ht="63">
      <c r="A37" s="938" t="s">
        <v>618</v>
      </c>
      <c r="B37" s="842" t="s">
        <v>541</v>
      </c>
      <c r="C37" s="849" t="s">
        <v>633</v>
      </c>
    </row>
    <row r="38" spans="1:3" ht="25.2">
      <c r="A38" s="938" t="s">
        <v>618</v>
      </c>
      <c r="B38" s="865" t="s">
        <v>535</v>
      </c>
      <c r="C38" s="285" t="s">
        <v>641</v>
      </c>
    </row>
    <row r="39" spans="1:3">
      <c r="A39" s="938" t="s">
        <v>618</v>
      </c>
      <c r="B39" s="865" t="s">
        <v>552</v>
      </c>
      <c r="C39" s="285" t="s">
        <v>642</v>
      </c>
    </row>
    <row r="40" spans="1:3" ht="25.2">
      <c r="A40" s="938" t="s">
        <v>618</v>
      </c>
      <c r="B40" s="865" t="s">
        <v>552</v>
      </c>
      <c r="C40" s="285" t="s">
        <v>649</v>
      </c>
    </row>
    <row r="41" spans="1:3" ht="25.2">
      <c r="A41" s="938" t="s">
        <v>618</v>
      </c>
      <c r="B41" s="865" t="s">
        <v>549</v>
      </c>
      <c r="C41" s="285" t="s">
        <v>648</v>
      </c>
    </row>
    <row r="42" spans="1:3">
      <c r="A42" s="938" t="s">
        <v>618</v>
      </c>
      <c r="B42" s="865" t="s">
        <v>643</v>
      </c>
      <c r="C42" s="285" t="s">
        <v>647</v>
      </c>
    </row>
    <row r="43" spans="1:3" ht="25.2">
      <c r="A43" s="938" t="s">
        <v>618</v>
      </c>
      <c r="B43" s="842" t="s">
        <v>643</v>
      </c>
      <c r="C43" s="285" t="s">
        <v>650</v>
      </c>
    </row>
    <row r="44" spans="1:3" ht="37.799999999999997">
      <c r="A44" s="938" t="s">
        <v>618</v>
      </c>
      <c r="B44" s="842" t="s">
        <v>644</v>
      </c>
      <c r="C44" s="285" t="s">
        <v>646</v>
      </c>
    </row>
    <row r="45" spans="1:3" ht="37.799999999999997">
      <c r="A45" s="938" t="s">
        <v>618</v>
      </c>
      <c r="B45" s="842" t="s">
        <v>617</v>
      </c>
      <c r="C45" s="285" t="s">
        <v>619</v>
      </c>
    </row>
    <row r="46" spans="1:3" ht="25.2">
      <c r="A46" s="938" t="s">
        <v>665</v>
      </c>
      <c r="B46" s="842"/>
      <c r="C46" s="285"/>
    </row>
    <row r="47" spans="1:3">
      <c r="A47" s="334"/>
      <c r="B47" s="962" t="s">
        <v>655</v>
      </c>
      <c r="C47" s="950" t="s">
        <v>656</v>
      </c>
    </row>
    <row r="48" spans="1:3" ht="37.799999999999997">
      <c r="A48" s="334"/>
      <c r="B48" s="962" t="s">
        <v>657</v>
      </c>
      <c r="C48" s="950" t="s">
        <v>658</v>
      </c>
    </row>
    <row r="49" spans="1:3" ht="50.4">
      <c r="A49" s="334"/>
      <c r="B49" s="962" t="s">
        <v>607</v>
      </c>
      <c r="C49" s="950" t="s">
        <v>659</v>
      </c>
    </row>
    <row r="50" spans="1:3" ht="37.799999999999997">
      <c r="A50" s="334"/>
      <c r="B50" s="962" t="s">
        <v>636</v>
      </c>
      <c r="C50" s="950" t="s">
        <v>660</v>
      </c>
    </row>
    <row r="51" spans="1:3" ht="63">
      <c r="A51" s="334"/>
      <c r="B51" s="962" t="s">
        <v>552</v>
      </c>
      <c r="C51" s="950" t="s">
        <v>661</v>
      </c>
    </row>
    <row r="52" spans="1:3" ht="37.799999999999997">
      <c r="A52" s="334"/>
      <c r="B52" s="962" t="s">
        <v>643</v>
      </c>
      <c r="C52" s="950" t="s">
        <v>662</v>
      </c>
    </row>
    <row r="53" spans="1:3" ht="25.2">
      <c r="A53" s="334"/>
      <c r="B53" s="962" t="s">
        <v>538</v>
      </c>
      <c r="C53" s="950" t="s">
        <v>654</v>
      </c>
    </row>
    <row r="54" spans="1:3">
      <c r="A54" s="334"/>
      <c r="B54" s="842"/>
      <c r="C54" s="285"/>
    </row>
    <row r="55" spans="1:3">
      <c r="A55" s="334"/>
      <c r="B55" s="842"/>
      <c r="C55" s="285"/>
    </row>
    <row r="56" spans="1:3">
      <c r="A56" s="334"/>
      <c r="B56" s="842"/>
      <c r="C56" s="285"/>
    </row>
    <row r="57" spans="1:3">
      <c r="A57" s="334"/>
      <c r="B57" s="842"/>
      <c r="C57" s="285"/>
    </row>
    <row r="58" spans="1:3">
      <c r="A58" s="334"/>
      <c r="B58" s="842"/>
      <c r="C58" s="285"/>
    </row>
    <row r="59" spans="1:3">
      <c r="A59" s="334"/>
      <c r="B59" s="842"/>
      <c r="C59" s="285"/>
    </row>
    <row r="60" spans="1:3">
      <c r="A60" s="334"/>
      <c r="B60" s="842"/>
      <c r="C60" s="285"/>
    </row>
    <row r="61" spans="1:3">
      <c r="A61" s="334"/>
      <c r="B61" s="842"/>
      <c r="C61" s="285"/>
    </row>
    <row r="62" spans="1:3">
      <c r="A62" s="334"/>
      <c r="B62" s="842"/>
      <c r="C62" s="285"/>
    </row>
    <row r="63" spans="1:3">
      <c r="A63" s="334"/>
      <c r="B63" s="842"/>
      <c r="C63" s="285"/>
    </row>
    <row r="64" spans="1:3">
      <c r="A64" s="334"/>
      <c r="B64" s="842"/>
      <c r="C64" s="285"/>
    </row>
    <row r="65" spans="1:3">
      <c r="A65" s="334"/>
      <c r="B65" s="842"/>
      <c r="C65" s="285"/>
    </row>
    <row r="66" spans="1:3">
      <c r="A66" s="334"/>
      <c r="B66" s="842"/>
      <c r="C66" s="285"/>
    </row>
  </sheetData>
  <pageMargins left="0.70866141732283472" right="0.70866141732283472" top="0.74803149606299213" bottom="0.74803149606299213" header="0.31496062992125984" footer="0.31496062992125984"/>
  <pageSetup paperSize="8" scale="74" orientation="landscape" r:id="rId1"/>
  <ignoredErrors>
    <ignoredError sqref="A29:A4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AT66"/>
  <sheetViews>
    <sheetView showGridLines="0" zoomScale="70" zoomScaleNormal="70" workbookViewId="0">
      <pane ySplit="6" topLeftCell="A10" activePane="bottomLeft" state="frozen"/>
      <selection activeCell="B75" sqref="A1:XFD1048576"/>
      <selection pane="bottomLeft" activeCell="N1" sqref="N1:N1048576"/>
    </sheetView>
  </sheetViews>
  <sheetFormatPr defaultRowHeight="12.6"/>
  <cols>
    <col min="1" max="1" width="8.36328125" customWidth="1"/>
    <col min="2" max="2" width="63.36328125" style="194" customWidth="1"/>
    <col min="3" max="3" width="13.36328125" style="42" customWidth="1"/>
    <col min="4" max="11" width="9.08984375" customWidth="1"/>
    <col min="12" max="12" width="3.453125" customWidth="1"/>
    <col min="13" max="14" width="13.7265625" customWidth="1"/>
    <col min="15" max="15" width="5.08984375" customWidth="1"/>
  </cols>
  <sheetData>
    <row r="1" spans="1:46" s="31" customFormat="1" ht="21">
      <c r="A1" s="901" t="s">
        <v>239</v>
      </c>
      <c r="B1" s="910"/>
      <c r="C1" s="911"/>
      <c r="D1" s="911"/>
      <c r="E1" s="911"/>
      <c r="F1" s="911"/>
      <c r="G1" s="254"/>
      <c r="H1" s="254"/>
      <c r="I1" s="255"/>
      <c r="J1" s="255"/>
      <c r="K1" s="256"/>
      <c r="L1" s="256"/>
      <c r="M1" s="256"/>
      <c r="N1" s="256"/>
      <c r="O1" s="362" t="s">
        <v>84</v>
      </c>
    </row>
    <row r="2" spans="1:46" s="31" customFormat="1" ht="21">
      <c r="A2" s="904" t="str">
        <f>'RFPR cover'!C5</f>
        <v>WPD-WMID</v>
      </c>
      <c r="B2" s="912"/>
      <c r="C2" s="896"/>
      <c r="D2" s="896"/>
      <c r="E2" s="896"/>
      <c r="F2" s="896"/>
      <c r="G2" s="29"/>
      <c r="H2" s="29"/>
      <c r="I2" s="27"/>
      <c r="J2" s="27"/>
      <c r="K2" s="27"/>
      <c r="L2" s="27"/>
      <c r="M2" s="27"/>
      <c r="N2" s="27"/>
      <c r="O2" s="121"/>
    </row>
    <row r="3" spans="1:46" s="31" customFormat="1" ht="22.8">
      <c r="A3" s="907">
        <f>'RFPR cover'!C7</f>
        <v>2020</v>
      </c>
      <c r="B3" s="913" t="str">
        <f>IF('RFPR cover'!C5=Data!B98,"Not required to be completed for System Operator",(IF('RFPR cover'!C5=Data!B96,"Not required to be completed for System Operator","")))</f>
        <v/>
      </c>
      <c r="C3" s="914"/>
      <c r="D3" s="914"/>
      <c r="E3" s="914"/>
      <c r="F3" s="914"/>
      <c r="G3" s="258"/>
      <c r="H3" s="258"/>
      <c r="I3" s="253"/>
      <c r="J3" s="253"/>
      <c r="K3" s="253"/>
      <c r="L3" s="253"/>
      <c r="M3" s="253"/>
      <c r="N3" s="253"/>
      <c r="O3" s="259"/>
    </row>
    <row r="4" spans="1:46" ht="12.75" customHeight="1"/>
    <row r="5" spans="1:46">
      <c r="D5" s="385" t="str">
        <f>IF(D6&lt;='RFPR cover'!$C$7,"Actuals","Forecast")</f>
        <v>Actuals</v>
      </c>
      <c r="E5" s="386" t="str">
        <f>IF(E6&lt;='RFPR cover'!$C$7,"Actuals","Forecast")</f>
        <v>Actuals</v>
      </c>
      <c r="F5" s="386" t="str">
        <f>IF(F6&lt;='RFPR cover'!$C$7,"Actuals","Forecast")</f>
        <v>Actuals</v>
      </c>
      <c r="G5" s="386" t="str">
        <f>IF(G6&lt;='RFPR cover'!$C$7,"Actuals","Forecast")</f>
        <v>Actuals</v>
      </c>
      <c r="H5" s="386" t="str">
        <f>IF(H6&lt;='RFPR cover'!$C$7,"Actuals","Forecast")</f>
        <v>Actuals</v>
      </c>
      <c r="I5" s="386" t="str">
        <f>IF(I6&lt;='RFPR cover'!$C$7,"Actuals","Forecast")</f>
        <v>Forecast</v>
      </c>
      <c r="J5" s="386" t="str">
        <f>IF(J6&lt;='RFPR cover'!$C$7,"Actuals","Forecast")</f>
        <v>Forecast</v>
      </c>
      <c r="K5" s="387" t="str">
        <f>IF(K6&lt;='RFPR cover'!$C$7,"Actuals","Forecast")</f>
        <v>Forecast</v>
      </c>
      <c r="L5" s="2"/>
      <c r="M5" s="2"/>
    </row>
    <row r="6" spans="1:46" ht="31.5" customHeight="1">
      <c r="C6" s="170"/>
      <c r="D6" s="115">
        <f>'RFPR cover'!$C$13</f>
        <v>2016</v>
      </c>
      <c r="E6" s="116">
        <f>D6+1</f>
        <v>2017</v>
      </c>
      <c r="F6" s="116">
        <f t="shared" ref="F6:K6" si="0">E6+1</f>
        <v>2018</v>
      </c>
      <c r="G6" s="116">
        <f t="shared" si="0"/>
        <v>2019</v>
      </c>
      <c r="H6" s="116">
        <f t="shared" si="0"/>
        <v>2020</v>
      </c>
      <c r="I6" s="116">
        <f t="shared" si="0"/>
        <v>2021</v>
      </c>
      <c r="J6" s="116">
        <f t="shared" si="0"/>
        <v>2022</v>
      </c>
      <c r="K6" s="193">
        <f t="shared" si="0"/>
        <v>2023</v>
      </c>
      <c r="L6" s="49"/>
      <c r="M6" s="99" t="str">
        <f>"Cumulative to "&amp;'RFPR cover'!$C$7</f>
        <v>Cumulative to 2020</v>
      </c>
      <c r="N6" s="192" t="s">
        <v>109</v>
      </c>
    </row>
    <row r="7" spans="1:46">
      <c r="C7" s="170"/>
      <c r="D7" s="170"/>
      <c r="E7" s="170"/>
      <c r="F7" s="170"/>
      <c r="G7" s="170"/>
      <c r="H7" s="170"/>
      <c r="I7" s="170"/>
      <c r="J7" s="170"/>
      <c r="K7" s="170"/>
      <c r="L7" s="170"/>
      <c r="M7" s="170"/>
      <c r="N7" s="170"/>
      <c r="O7" s="170"/>
    </row>
    <row r="8" spans="1:46">
      <c r="B8" s="526" t="s">
        <v>108</v>
      </c>
      <c r="C8" s="419"/>
      <c r="D8" s="419"/>
      <c r="E8" s="419"/>
      <c r="F8" s="419"/>
      <c r="G8" s="419"/>
      <c r="H8" s="419"/>
      <c r="I8" s="419"/>
      <c r="J8" s="419"/>
      <c r="K8" s="419"/>
      <c r="L8" s="527"/>
      <c r="M8" s="215"/>
      <c r="N8" s="215"/>
      <c r="O8" s="215"/>
    </row>
    <row r="9" spans="1:46">
      <c r="B9" s="195"/>
      <c r="D9" s="42"/>
      <c r="E9" s="42"/>
      <c r="F9" s="42"/>
      <c r="G9" s="42"/>
      <c r="H9" s="42"/>
      <c r="I9" s="42"/>
      <c r="J9" s="42"/>
      <c r="K9" s="42"/>
      <c r="L9" s="49"/>
    </row>
    <row r="10" spans="1:46">
      <c r="B10" s="250" t="s">
        <v>215</v>
      </c>
      <c r="C10" s="252" t="s">
        <v>7</v>
      </c>
      <c r="D10" s="503">
        <f t="shared" ref="D10:K19" si="1">D48/D$65</f>
        <v>6.4000000000000001E-2</v>
      </c>
      <c r="E10" s="505">
        <f t="shared" si="1"/>
        <v>6.4000000000000001E-2</v>
      </c>
      <c r="F10" s="505">
        <f t="shared" si="1"/>
        <v>6.4000000000000001E-2</v>
      </c>
      <c r="G10" s="505">
        <f t="shared" si="1"/>
        <v>6.4000000000000001E-2</v>
      </c>
      <c r="H10" s="505">
        <f t="shared" si="1"/>
        <v>6.4000000000000001E-2</v>
      </c>
      <c r="I10" s="505">
        <f t="shared" si="1"/>
        <v>6.4000000000000001E-2</v>
      </c>
      <c r="J10" s="505">
        <f t="shared" si="1"/>
        <v>6.4000000000000001E-2</v>
      </c>
      <c r="K10" s="504">
        <f t="shared" si="1"/>
        <v>6.4000000000000001E-2</v>
      </c>
      <c r="L10" s="171"/>
      <c r="M10" s="504">
        <f>AVERAGE(D48:INDEX(D48:K48,0,MATCH('RFPR cover'!$C$7,$D$6:$K$6,0)))/AVERAGE($D$65:INDEX($D$65:$K$65,0,MATCH('RFPR cover'!$C$7,$D$6:$K$6,0)))</f>
        <v>6.4000000000000001E-2</v>
      </c>
      <c r="N10" s="504">
        <f>AVERAGE(D48:K48)/AVERAGE($D$65:$K$65)</f>
        <v>6.4000000000000001E-2</v>
      </c>
      <c r="R10" s="514"/>
      <c r="S10" s="514"/>
      <c r="T10" s="514"/>
      <c r="U10" s="514"/>
      <c r="V10" s="514"/>
      <c r="W10" s="514"/>
      <c r="X10" s="514"/>
      <c r="Y10" s="514"/>
      <c r="Z10" s="514"/>
      <c r="AA10" s="514"/>
      <c r="AO10" s="171"/>
      <c r="AP10" s="171"/>
      <c r="AQ10" s="171"/>
      <c r="AR10" s="171"/>
      <c r="AS10" s="171"/>
      <c r="AT10" s="171"/>
    </row>
    <row r="11" spans="1:46">
      <c r="B11" s="250" t="str">
        <f t="shared" ref="B11:B18" si="2">B49</f>
        <v>Totex outperformance</v>
      </c>
      <c r="C11" s="252" t="s">
        <v>7</v>
      </c>
      <c r="D11" s="173">
        <f t="shared" si="1"/>
        <v>-3.455067037934792E-2</v>
      </c>
      <c r="E11" s="174">
        <f t="shared" si="1"/>
        <v>-2.145719805563865E-2</v>
      </c>
      <c r="F11" s="174">
        <f t="shared" si="1"/>
        <v>-1.04833899168549E-2</v>
      </c>
      <c r="G11" s="174">
        <f t="shared" si="1"/>
        <v>3.0157931583574868E-2</v>
      </c>
      <c r="H11" s="174">
        <f t="shared" si="1"/>
        <v>3.5935411414392285E-2</v>
      </c>
      <c r="I11" s="174">
        <f t="shared" si="1"/>
        <v>1.4378363712862455E-2</v>
      </c>
      <c r="J11" s="174">
        <f t="shared" si="1"/>
        <v>-2.3555251571488862E-2</v>
      </c>
      <c r="K11" s="175">
        <f t="shared" si="1"/>
        <v>-2.3841011000085732E-2</v>
      </c>
      <c r="L11" s="171"/>
      <c r="M11" s="175">
        <f>AVERAGE(D49:INDEX(D49:K49,0,MATCH('RFPR cover'!$C$7,$D$6:$K$6,0)))/AVERAGE($D$65:INDEX($D$65:$K$65,0,MATCH('RFPR cover'!$C$7,$D$6:$K$6,0)))</f>
        <v>4.8313301893253133E-4</v>
      </c>
      <c r="N11" s="175">
        <f t="shared" ref="N11:N19" si="3">AVERAGE(D49:K49)/AVERAGE($D$65:$K$65)</f>
        <v>-4.099173117485303E-3</v>
      </c>
      <c r="P11" s="171"/>
      <c r="R11" s="514"/>
      <c r="S11" s="514"/>
      <c r="T11" s="514"/>
      <c r="U11" s="514"/>
      <c r="V11" s="514"/>
      <c r="W11" s="514"/>
      <c r="X11" s="514"/>
      <c r="Y11" s="514"/>
      <c r="Z11" s="514"/>
      <c r="AA11" s="514"/>
      <c r="AO11" s="171"/>
      <c r="AP11" s="171"/>
      <c r="AQ11" s="171"/>
      <c r="AR11" s="171"/>
      <c r="AS11" s="171"/>
      <c r="AT11" s="171"/>
    </row>
    <row r="12" spans="1:46">
      <c r="B12" s="250" t="str">
        <f t="shared" si="2"/>
        <v>IQI Reward</v>
      </c>
      <c r="C12" s="252" t="s">
        <v>7</v>
      </c>
      <c r="D12" s="173">
        <f t="shared" si="1"/>
        <v>7.6351426305310563E-3</v>
      </c>
      <c r="E12" s="174">
        <f t="shared" si="1"/>
        <v>7.4787401384933568E-3</v>
      </c>
      <c r="F12" s="174">
        <f t="shared" si="1"/>
        <v>7.233906450623313E-3</v>
      </c>
      <c r="G12" s="174">
        <f t="shared" si="1"/>
        <v>7.2788154118129068E-3</v>
      </c>
      <c r="H12" s="174">
        <f t="shared" si="1"/>
        <v>7.4196129904533573E-3</v>
      </c>
      <c r="I12" s="174">
        <f t="shared" si="1"/>
        <v>7.4556412315940936E-3</v>
      </c>
      <c r="J12" s="174">
        <f t="shared" si="1"/>
        <v>7.2447848773466682E-3</v>
      </c>
      <c r="K12" s="175">
        <f t="shared" si="1"/>
        <v>7.1314024023795908E-3</v>
      </c>
      <c r="L12" s="171"/>
      <c r="M12" s="175">
        <f>AVERAGE(D50:INDEX(D50:K50,0,MATCH('RFPR cover'!$C$7,$D$6:$K$6,0)))/AVERAGE($D$65:INDEX($D$65:$K$65,0,MATCH('RFPR cover'!$C$7,$D$6:$K$6,0)))</f>
        <v>7.407047807338852E-3</v>
      </c>
      <c r="N12" s="175">
        <f t="shared" si="3"/>
        <v>7.3555600048512892E-3</v>
      </c>
      <c r="R12" s="514"/>
      <c r="S12" s="514"/>
      <c r="T12" s="514"/>
      <c r="U12" s="514"/>
      <c r="V12" s="514"/>
      <c r="W12" s="514"/>
      <c r="X12" s="514"/>
      <c r="Y12" s="514"/>
      <c r="Z12" s="514"/>
      <c r="AA12" s="514"/>
      <c r="AO12" s="171"/>
      <c r="AP12" s="171"/>
      <c r="AQ12" s="171"/>
      <c r="AR12" s="171"/>
      <c r="AS12" s="171"/>
      <c r="AT12" s="171"/>
    </row>
    <row r="13" spans="1:46">
      <c r="B13" s="250" t="str">
        <f t="shared" si="2"/>
        <v>Broad measure of customer service</v>
      </c>
      <c r="C13" s="252" t="s">
        <v>7</v>
      </c>
      <c r="D13" s="173">
        <f t="shared" si="1"/>
        <v>6.2933708829700941E-3</v>
      </c>
      <c r="E13" s="174">
        <f t="shared" si="1"/>
        <v>5.9772614860208228E-3</v>
      </c>
      <c r="F13" s="174">
        <f t="shared" si="1"/>
        <v>6.1567880980301056E-3</v>
      </c>
      <c r="G13" s="174">
        <f t="shared" si="1"/>
        <v>6.4142844200950908E-3</v>
      </c>
      <c r="H13" s="174">
        <f t="shared" si="1"/>
        <v>6.5028100829566124E-3</v>
      </c>
      <c r="I13" s="174">
        <f t="shared" si="1"/>
        <v>6.2940290990632494E-3</v>
      </c>
      <c r="J13" s="174">
        <f t="shared" si="1"/>
        <v>6.1714598028076492E-3</v>
      </c>
      <c r="K13" s="175">
        <f t="shared" si="1"/>
        <v>6.0132535797265147E-3</v>
      </c>
      <c r="L13" s="171"/>
      <c r="M13" s="175">
        <f>AVERAGE(D51:INDEX(D51:K51,0,MATCH('RFPR cover'!$C$7,$D$6:$K$6,0)))/AVERAGE($D$65:INDEX($D$65:$K$65,0,MATCH('RFPR cover'!$C$7,$D$6:$K$6,0)))</f>
        <v>6.2710577388755788E-3</v>
      </c>
      <c r="N13" s="175">
        <f t="shared" si="3"/>
        <v>6.2268042200276002E-3</v>
      </c>
      <c r="R13" s="514"/>
      <c r="S13" s="514"/>
      <c r="T13" s="514"/>
      <c r="U13" s="514"/>
      <c r="V13" s="514"/>
      <c r="W13" s="514"/>
      <c r="X13" s="514"/>
      <c r="Y13" s="514"/>
      <c r="Z13" s="514"/>
      <c r="AA13" s="514"/>
      <c r="AO13" s="171"/>
      <c r="AP13" s="171"/>
      <c r="AQ13" s="171"/>
      <c r="AR13" s="171"/>
      <c r="AS13" s="171"/>
      <c r="AT13" s="171"/>
    </row>
    <row r="14" spans="1:46">
      <c r="B14" s="250" t="str">
        <f t="shared" si="2"/>
        <v>Interruptions-related quality of service</v>
      </c>
      <c r="C14" s="252" t="s">
        <v>7</v>
      </c>
      <c r="D14" s="173">
        <f t="shared" si="1"/>
        <v>2.1025410485085383E-2</v>
      </c>
      <c r="E14" s="174">
        <f t="shared" si="1"/>
        <v>2.0567171131914561E-2</v>
      </c>
      <c r="F14" s="174">
        <f t="shared" si="1"/>
        <v>2.0229921741568388E-2</v>
      </c>
      <c r="G14" s="174">
        <f t="shared" si="1"/>
        <v>2.0003142181329876E-2</v>
      </c>
      <c r="H14" s="174">
        <f t="shared" si="1"/>
        <v>1.9787920653581439E-2</v>
      </c>
      <c r="I14" s="174">
        <f t="shared" si="1"/>
        <v>1.9530625438516767E-2</v>
      </c>
      <c r="J14" s="174">
        <f t="shared" si="1"/>
        <v>1.9150287982532176E-2</v>
      </c>
      <c r="K14" s="175">
        <f t="shared" si="1"/>
        <v>1.8659367709300528E-2</v>
      </c>
      <c r="L14" s="171"/>
      <c r="M14" s="175">
        <f>AVERAGE(D52:INDEX(D52:K52,0,MATCH('RFPR cover'!$C$7,$D$6:$K$6,0)))/AVERAGE($D$65:INDEX($D$65:$K$65,0,MATCH('RFPR cover'!$C$7,$D$6:$K$6,0)))</f>
        <v>2.0313442433042207E-2</v>
      </c>
      <c r="N14" s="175">
        <f t="shared" si="3"/>
        <v>1.9843485344706389E-2</v>
      </c>
      <c r="R14" s="514"/>
      <c r="S14" s="514"/>
      <c r="T14" s="514"/>
      <c r="U14" s="514"/>
      <c r="V14" s="514"/>
      <c r="W14" s="514"/>
      <c r="X14" s="514"/>
      <c r="Y14" s="514"/>
      <c r="Z14" s="514"/>
      <c r="AA14" s="514"/>
      <c r="AO14" s="171"/>
      <c r="AP14" s="171"/>
      <c r="AQ14" s="171"/>
      <c r="AR14" s="171"/>
      <c r="AS14" s="171"/>
      <c r="AT14" s="171"/>
    </row>
    <row r="15" spans="1:46">
      <c r="B15" s="250" t="str">
        <f t="shared" si="2"/>
        <v>Incentive on connections engagement</v>
      </c>
      <c r="C15" s="252" t="s">
        <v>7</v>
      </c>
      <c r="D15" s="173">
        <f t="shared" si="1"/>
        <v>0</v>
      </c>
      <c r="E15" s="174">
        <f t="shared" si="1"/>
        <v>0</v>
      </c>
      <c r="F15" s="174">
        <f t="shared" si="1"/>
        <v>0</v>
      </c>
      <c r="G15" s="174">
        <f t="shared" si="1"/>
        <v>0</v>
      </c>
      <c r="H15" s="174">
        <f t="shared" si="1"/>
        <v>0</v>
      </c>
      <c r="I15" s="174">
        <f t="shared" si="1"/>
        <v>0</v>
      </c>
      <c r="J15" s="174">
        <f t="shared" si="1"/>
        <v>0</v>
      </c>
      <c r="K15" s="175">
        <f t="shared" si="1"/>
        <v>0</v>
      </c>
      <c r="L15" s="171"/>
      <c r="M15" s="175">
        <f>AVERAGE(D53:INDEX(D53:K53,0,MATCH('RFPR cover'!$C$7,$D$6:$K$6,0)))/AVERAGE($D$65:INDEX($D$65:$K$65,0,MATCH('RFPR cover'!$C$7,$D$6:$K$6,0)))</f>
        <v>0</v>
      </c>
      <c r="N15" s="175">
        <f t="shared" si="3"/>
        <v>0</v>
      </c>
      <c r="R15" s="514"/>
      <c r="S15" s="514"/>
      <c r="T15" s="514"/>
      <c r="U15" s="514"/>
      <c r="V15" s="514"/>
      <c r="W15" s="514"/>
      <c r="X15" s="514"/>
      <c r="Y15" s="514"/>
      <c r="Z15" s="514"/>
      <c r="AA15" s="514"/>
      <c r="AO15" s="171"/>
      <c r="AP15" s="171"/>
      <c r="AQ15" s="171"/>
      <c r="AR15" s="171"/>
      <c r="AS15" s="171"/>
      <c r="AT15" s="171"/>
    </row>
    <row r="16" spans="1:46">
      <c r="B16" s="250" t="str">
        <f t="shared" si="2"/>
        <v>Time to Connect Incentive</v>
      </c>
      <c r="C16" s="252" t="s">
        <v>7</v>
      </c>
      <c r="D16" s="173">
        <f t="shared" si="1"/>
        <v>1.6005445247233925E-3</v>
      </c>
      <c r="E16" s="174">
        <f t="shared" si="1"/>
        <v>1.3382755346699284E-3</v>
      </c>
      <c r="F16" s="174">
        <f t="shared" si="1"/>
        <v>1.7973771147339237E-3</v>
      </c>
      <c r="G16" s="174">
        <f t="shared" si="1"/>
        <v>1.8081936435100459E-3</v>
      </c>
      <c r="H16" s="174">
        <f t="shared" si="1"/>
        <v>1.7095616043203486E-3</v>
      </c>
      <c r="I16" s="174">
        <f t="shared" si="1"/>
        <v>1.4813671628633985E-3</v>
      </c>
      <c r="J16" s="174">
        <f t="shared" si="1"/>
        <v>1.452519166168349E-3</v>
      </c>
      <c r="K16" s="175">
        <f t="shared" si="1"/>
        <v>1.4152836370431477E-3</v>
      </c>
      <c r="L16" s="171"/>
      <c r="M16" s="175">
        <f>AVERAGE(D54:INDEX(D54:K54,0,MATCH('RFPR cover'!$C$7,$D$6:$K$6,0)))/AVERAGE($D$65:INDEX($D$65:$K$65,0,MATCH('RFPR cover'!$C$7,$D$6:$K$6,0)))</f>
        <v>1.6528233959846805E-3</v>
      </c>
      <c r="N16" s="175">
        <f t="shared" si="3"/>
        <v>1.573526954689758E-3</v>
      </c>
      <c r="R16" s="514"/>
      <c r="S16" s="514"/>
      <c r="T16" s="514"/>
      <c r="U16" s="514"/>
      <c r="V16" s="514"/>
      <c r="W16" s="514"/>
      <c r="X16" s="514"/>
      <c r="Y16" s="514"/>
      <c r="Z16" s="514"/>
      <c r="AA16" s="514"/>
      <c r="AO16" s="171"/>
      <c r="AP16" s="171"/>
      <c r="AQ16" s="171"/>
      <c r="AR16" s="171"/>
      <c r="AS16" s="171"/>
      <c r="AT16" s="171"/>
    </row>
    <row r="17" spans="2:46">
      <c r="B17" s="250" t="str">
        <f t="shared" si="2"/>
        <v>Losses discretionary reward scheme</v>
      </c>
      <c r="C17" s="252" t="s">
        <v>7</v>
      </c>
      <c r="D17" s="173">
        <f t="shared" si="1"/>
        <v>0</v>
      </c>
      <c r="E17" s="174">
        <f t="shared" si="1"/>
        <v>4.6479482783987721E-5</v>
      </c>
      <c r="F17" s="174">
        <f t="shared" si="1"/>
        <v>0</v>
      </c>
      <c r="G17" s="174">
        <f t="shared" si="1"/>
        <v>0</v>
      </c>
      <c r="H17" s="174">
        <f t="shared" si="1"/>
        <v>0</v>
      </c>
      <c r="I17" s="174">
        <f t="shared" si="1"/>
        <v>0</v>
      </c>
      <c r="J17" s="174">
        <f t="shared" si="1"/>
        <v>0</v>
      </c>
      <c r="K17" s="175">
        <f t="shared" si="1"/>
        <v>0</v>
      </c>
      <c r="L17" s="171"/>
      <c r="M17" s="175">
        <f>AVERAGE(D55:INDEX(D55:K55,0,MATCH('RFPR cover'!$C$7,$D$6:$K$6,0)))/AVERAGE($D$65:INDEX($D$65:$K$65,0,MATCH('RFPR cover'!$C$7,$D$6:$K$6,0)))</f>
        <v>9.1812169188891356E-6</v>
      </c>
      <c r="N17" s="175">
        <f t="shared" si="3"/>
        <v>5.6055043346628217E-6</v>
      </c>
      <c r="R17" s="514"/>
      <c r="S17" s="514"/>
      <c r="T17" s="514"/>
      <c r="U17" s="514"/>
      <c r="V17" s="514"/>
      <c r="W17" s="514"/>
      <c r="X17" s="514"/>
      <c r="Y17" s="514"/>
      <c r="Z17" s="514"/>
      <c r="AA17" s="514"/>
      <c r="AO17" s="171"/>
      <c r="AP17" s="171"/>
      <c r="AQ17" s="171"/>
      <c r="AR17" s="171"/>
      <c r="AS17" s="171"/>
      <c r="AT17" s="171"/>
    </row>
    <row r="18" spans="2:46">
      <c r="B18" s="250" t="str">
        <f t="shared" si="2"/>
        <v xml:space="preserve">Network Innovation </v>
      </c>
      <c r="C18" s="252" t="s">
        <v>7</v>
      </c>
      <c r="D18" s="173">
        <f t="shared" si="1"/>
        <v>-5.3351826912467182E-5</v>
      </c>
      <c r="E18" s="174">
        <f t="shared" si="1"/>
        <v>-2.5940436561148778E-4</v>
      </c>
      <c r="F18" s="174">
        <f t="shared" si="1"/>
        <v>2.015640949957907E-5</v>
      </c>
      <c r="G18" s="174">
        <f t="shared" si="1"/>
        <v>1.2111239995129862E-3</v>
      </c>
      <c r="H18" s="174">
        <f t="shared" si="1"/>
        <v>-3.5562536295872442E-4</v>
      </c>
      <c r="I18" s="174">
        <f t="shared" si="1"/>
        <v>-2.6346790550308709E-4</v>
      </c>
      <c r="J18" s="174">
        <f t="shared" si="1"/>
        <v>-2.6461216555521939E-4</v>
      </c>
      <c r="K18" s="175">
        <f t="shared" si="1"/>
        <v>-4.2888823646106507E-4</v>
      </c>
      <c r="L18" s="171"/>
      <c r="M18" s="175">
        <f>AVERAGE(D56:INDEX(D56:K56,0,MATCH('RFPR cover'!$C$7,$D$6:$K$6,0)))/AVERAGE($D$65:INDEX($D$65:$K$65,0,MATCH('RFPR cover'!$C$7,$D$6:$K$6,0)))</f>
        <v>1.1546638152036831E-4</v>
      </c>
      <c r="N18" s="175">
        <f t="shared" si="3"/>
        <v>-5.4251135968370229E-5</v>
      </c>
      <c r="R18" s="514"/>
      <c r="S18" s="514"/>
      <c r="T18" s="514"/>
      <c r="U18" s="514"/>
      <c r="V18" s="514"/>
      <c r="W18" s="514"/>
      <c r="X18" s="514"/>
      <c r="Y18" s="514"/>
      <c r="Z18" s="514"/>
      <c r="AA18" s="514"/>
      <c r="AO18" s="171"/>
      <c r="AP18" s="171"/>
      <c r="AQ18" s="171"/>
      <c r="AR18" s="171"/>
      <c r="AS18" s="171"/>
      <c r="AT18" s="171"/>
    </row>
    <row r="19" spans="2:46">
      <c r="B19" s="250" t="str">
        <f>B57</f>
        <v>Penalties and fines</v>
      </c>
      <c r="C19" s="252" t="s">
        <v>7</v>
      </c>
      <c r="D19" s="183">
        <f t="shared" si="1"/>
        <v>-1.9916502242837715E-6</v>
      </c>
      <c r="E19" s="184">
        <f t="shared" si="1"/>
        <v>-1.0013707602645259E-6</v>
      </c>
      <c r="F19" s="184">
        <f t="shared" si="1"/>
        <v>-1.388531723564468E-6</v>
      </c>
      <c r="G19" s="184">
        <f t="shared" si="1"/>
        <v>-1.2688172272834993E-7</v>
      </c>
      <c r="H19" s="184">
        <f t="shared" si="1"/>
        <v>-6.5033355823332615E-6</v>
      </c>
      <c r="I19" s="184">
        <f t="shared" si="1"/>
        <v>-2.0368451745651521E-6</v>
      </c>
      <c r="J19" s="184">
        <f t="shared" si="1"/>
        <v>-1.955622868401203E-6</v>
      </c>
      <c r="K19" s="185">
        <f t="shared" si="1"/>
        <v>-1.8576555754247391E-6</v>
      </c>
      <c r="L19" s="171"/>
      <c r="M19" s="185">
        <f>AVERAGE(D57:INDEX(D57:K57,0,MATCH('RFPR cover'!$C$7,$D$6:$K$6,0)))/AVERAGE($D$65:INDEX($D$65:$K$65,0,MATCH('RFPR cover'!$C$7,$D$6:$K$6,0)))</f>
        <v>-2.2224778630405205E-6</v>
      </c>
      <c r="N19" s="185">
        <f t="shared" si="3"/>
        <v>-2.1158410294826735E-6</v>
      </c>
      <c r="R19" s="514"/>
      <c r="S19" s="514"/>
      <c r="T19" s="514"/>
      <c r="U19" s="514"/>
      <c r="V19" s="514"/>
      <c r="W19" s="514"/>
      <c r="X19" s="514"/>
      <c r="Y19" s="514"/>
      <c r="Z19" s="514"/>
      <c r="AA19" s="514"/>
      <c r="AO19" s="171"/>
      <c r="AP19" s="171"/>
      <c r="AQ19" s="171"/>
      <c r="AR19" s="171"/>
      <c r="AS19" s="171"/>
      <c r="AT19" s="171"/>
    </row>
    <row r="20" spans="2:46">
      <c r="B20" s="251" t="str">
        <f>B58</f>
        <v>RoRE - Operational performance</v>
      </c>
      <c r="C20" s="252" t="s">
        <v>7</v>
      </c>
      <c r="D20" s="186">
        <f t="shared" ref="D20:K20" si="4">SUM(D10:D19)</f>
        <v>6.5948454666825265E-2</v>
      </c>
      <c r="E20" s="187">
        <f t="shared" si="4"/>
        <v>7.7690323981872256E-2</v>
      </c>
      <c r="F20" s="187">
        <f t="shared" si="4"/>
        <v>8.8953371365876846E-2</v>
      </c>
      <c r="G20" s="187">
        <f t="shared" si="4"/>
        <v>0.13087336435811303</v>
      </c>
      <c r="H20" s="187">
        <f t="shared" si="4"/>
        <v>0.13499318804716301</v>
      </c>
      <c r="I20" s="187">
        <f t="shared" si="4"/>
        <v>0.11287452189422231</v>
      </c>
      <c r="J20" s="187">
        <f t="shared" si="4"/>
        <v>7.4197232468942345E-2</v>
      </c>
      <c r="K20" s="188">
        <f t="shared" si="4"/>
        <v>7.2947550436327557E-2</v>
      </c>
      <c r="L20" s="172"/>
      <c r="M20" s="188">
        <f>SUM(M10:M19)</f>
        <v>0.10024992951475008</v>
      </c>
      <c r="N20" s="188">
        <f>SUM(N10:N19)</f>
        <v>9.4849441934126547E-2</v>
      </c>
      <c r="R20" s="514"/>
      <c r="S20" s="514"/>
      <c r="T20" s="514"/>
      <c r="U20" s="514"/>
      <c r="V20" s="514"/>
      <c r="W20" s="514"/>
      <c r="X20" s="514"/>
      <c r="Y20" s="514"/>
      <c r="Z20" s="514"/>
      <c r="AA20" s="514"/>
      <c r="AO20" s="171"/>
      <c r="AP20" s="171"/>
      <c r="AQ20" s="171"/>
      <c r="AR20" s="171"/>
      <c r="AS20" s="171"/>
      <c r="AT20" s="171"/>
    </row>
    <row r="21" spans="2:46">
      <c r="B21" s="250" t="str">
        <f>B59</f>
        <v>Debt performance - at notional gearing</v>
      </c>
      <c r="C21" s="252" t="s">
        <v>7</v>
      </c>
      <c r="D21" s="173">
        <f>(D59)/D$65</f>
        <v>-3.2689037305760088E-2</v>
      </c>
      <c r="E21" s="174">
        <f t="shared" ref="E21:K21" si="5">(E59)/E$65</f>
        <v>-1.4659945592562871E-2</v>
      </c>
      <c r="F21" s="174">
        <f t="shared" si="5"/>
        <v>8.1296388096784647E-3</v>
      </c>
      <c r="G21" s="174">
        <f t="shared" si="5"/>
        <v>-6.5332825762878044E-3</v>
      </c>
      <c r="H21" s="174">
        <f t="shared" si="5"/>
        <v>-1.7518579157486707E-2</v>
      </c>
      <c r="I21" s="174">
        <f t="shared" si="5"/>
        <v>-3.7794191393129339E-2</v>
      </c>
      <c r="J21" s="174">
        <f t="shared" si="5"/>
        <v>-3.1915161742033342E-2</v>
      </c>
      <c r="K21" s="175">
        <f t="shared" si="5"/>
        <v>-2.7260357435173833E-2</v>
      </c>
      <c r="L21" s="171"/>
      <c r="M21" s="175">
        <f>AVERAGE(D59:INDEX(D59:K59,0,MATCH('RFPR cover'!$C$7,$D$6:$K$6,0)))/AVERAGE($D$65:INDEX($D$65:$K$65,0,MATCH('RFPR cover'!$C$7,$D$6:$K$6,0)))</f>
        <v>-1.2503292949687637E-2</v>
      </c>
      <c r="N21" s="175">
        <f>AVERAGE(D59:K59)/AVERAGE($D$65:$K$65)</f>
        <v>-2.0191306672841216E-2</v>
      </c>
      <c r="R21" s="514"/>
      <c r="S21" s="514"/>
      <c r="T21" s="514"/>
      <c r="U21" s="514"/>
      <c r="V21" s="514"/>
      <c r="W21" s="514"/>
      <c r="X21" s="514"/>
      <c r="Y21" s="514"/>
      <c r="Z21" s="514"/>
      <c r="AA21" s="514"/>
      <c r="AO21" s="171"/>
      <c r="AP21" s="171"/>
      <c r="AQ21" s="171"/>
      <c r="AR21" s="171"/>
      <c r="AS21" s="171"/>
      <c r="AT21" s="171"/>
    </row>
    <row r="22" spans="2:46">
      <c r="B22" s="250" t="str">
        <f>B61</f>
        <v>Tax performance - at notional gearing</v>
      </c>
      <c r="C22" s="252" t="s">
        <v>7</v>
      </c>
      <c r="D22" s="173">
        <f>(D61)/D$65</f>
        <v>-8.9608633668553529E-3</v>
      </c>
      <c r="E22" s="174">
        <f t="shared" ref="E22:K22" si="6">(E61)/E$65</f>
        <v>4.1935483445949299E-3</v>
      </c>
      <c r="F22" s="174">
        <f t="shared" si="6"/>
        <v>-3.2827735733345761E-3</v>
      </c>
      <c r="G22" s="174">
        <f t="shared" si="6"/>
        <v>-1.0352706965591522E-3</v>
      </c>
      <c r="H22" s="174">
        <f t="shared" si="6"/>
        <v>-8.5729979806816858E-3</v>
      </c>
      <c r="I22" s="174">
        <f t="shared" si="6"/>
        <v>-1.0611359153355012E-2</v>
      </c>
      <c r="J22" s="174">
        <f t="shared" si="6"/>
        <v>-1.1909561627580815E-2</v>
      </c>
      <c r="K22" s="175">
        <f t="shared" si="6"/>
        <v>-9.9952918237917587E-3</v>
      </c>
      <c r="L22" s="171"/>
      <c r="M22" s="175">
        <f>AVERAGE(D61:INDEX(D61:K61,0,MATCH('RFPR cover'!$C$7,$D$6:$K$6,0)))/AVERAGE($D$65:INDEX($D$65:$K$65,0,MATCH('RFPR cover'!$C$7,$D$6:$K$6,0)))</f>
        <v>-3.5327896493709552E-3</v>
      </c>
      <c r="N22" s="175">
        <f>AVERAGE(D61:K61)/AVERAGE($D$65:$K$65)</f>
        <v>-6.3758600877916773E-3</v>
      </c>
      <c r="R22" s="514"/>
      <c r="S22" s="514"/>
      <c r="T22" s="514"/>
      <c r="U22" s="514"/>
      <c r="V22" s="514"/>
      <c r="W22" s="514"/>
      <c r="X22" s="514"/>
      <c r="Y22" s="514"/>
      <c r="Z22" s="514"/>
      <c r="AA22" s="514"/>
      <c r="AO22" s="171"/>
      <c r="AP22" s="171"/>
      <c r="AQ22" s="171"/>
      <c r="AR22" s="171"/>
      <c r="AS22" s="171"/>
      <c r="AT22" s="171"/>
    </row>
    <row r="23" spans="2:46">
      <c r="B23" s="251" t="str">
        <f>B63</f>
        <v>RoRE - including financing and tax</v>
      </c>
      <c r="C23" s="252" t="s">
        <v>7</v>
      </c>
      <c r="D23" s="189">
        <f>SUM(D20:D22)</f>
        <v>2.4298553994209826E-2</v>
      </c>
      <c r="E23" s="190">
        <f t="shared" ref="E23:K23" si="7">SUM(E20:E22)</f>
        <v>6.7223926733904316E-2</v>
      </c>
      <c r="F23" s="190">
        <f t="shared" si="7"/>
        <v>9.3800236602220741E-2</v>
      </c>
      <c r="G23" s="190">
        <f t="shared" si="7"/>
        <v>0.12330481108526607</v>
      </c>
      <c r="H23" s="190">
        <f t="shared" si="7"/>
        <v>0.10890161090899461</v>
      </c>
      <c r="I23" s="190">
        <f t="shared" si="7"/>
        <v>6.4468971347737963E-2</v>
      </c>
      <c r="J23" s="190">
        <f t="shared" si="7"/>
        <v>3.037250909932819E-2</v>
      </c>
      <c r="K23" s="191">
        <f t="shared" si="7"/>
        <v>3.5691901177361963E-2</v>
      </c>
      <c r="L23" s="172"/>
      <c r="M23" s="191">
        <f>SUM(M20:M22)</f>
        <v>8.421384691569149E-2</v>
      </c>
      <c r="N23" s="191">
        <f>SUM(N20:N22)</f>
        <v>6.8282275173493653E-2</v>
      </c>
      <c r="R23" s="514"/>
      <c r="S23" s="514"/>
      <c r="T23" s="514"/>
      <c r="U23" s="514"/>
      <c r="V23" s="514"/>
      <c r="W23" s="514"/>
      <c r="X23" s="514"/>
      <c r="Y23" s="514"/>
      <c r="Z23" s="514"/>
      <c r="AA23" s="514"/>
      <c r="AO23" s="171"/>
      <c r="AP23" s="171"/>
      <c r="AQ23" s="171"/>
      <c r="AR23" s="171"/>
      <c r="AS23" s="171"/>
      <c r="AT23" s="171"/>
    </row>
    <row r="24" spans="2:46">
      <c r="R24" s="514"/>
      <c r="S24" s="514"/>
      <c r="T24" s="514"/>
      <c r="U24" s="514"/>
      <c r="V24" s="514"/>
      <c r="W24" s="514"/>
      <c r="X24" s="514"/>
      <c r="Y24" s="514"/>
      <c r="Z24" s="514"/>
      <c r="AA24" s="514"/>
      <c r="AO24" s="171"/>
      <c r="AP24" s="171"/>
      <c r="AQ24" s="171"/>
      <c r="AR24" s="171"/>
      <c r="AS24" s="171"/>
      <c r="AT24" s="171"/>
    </row>
    <row r="25" spans="2:46">
      <c r="R25" s="514"/>
      <c r="S25" s="514"/>
      <c r="T25" s="514"/>
      <c r="U25" s="514"/>
      <c r="V25" s="514"/>
      <c r="W25" s="514"/>
      <c r="X25" s="514"/>
      <c r="Y25" s="514"/>
      <c r="Z25" s="514"/>
      <c r="AA25" s="514"/>
      <c r="AO25" s="171"/>
      <c r="AP25" s="171"/>
      <c r="AQ25" s="171"/>
      <c r="AR25" s="171"/>
      <c r="AS25" s="171"/>
      <c r="AT25" s="171"/>
    </row>
    <row r="26" spans="2:46" s="31" customFormat="1">
      <c r="B26" s="465"/>
      <c r="C26" s="361"/>
      <c r="Q26"/>
      <c r="R26" s="514"/>
      <c r="S26" s="514"/>
      <c r="T26" s="514"/>
      <c r="U26" s="514"/>
      <c r="V26" s="514"/>
      <c r="W26" s="514"/>
      <c r="X26" s="514"/>
      <c r="Y26" s="514"/>
      <c r="Z26" s="514"/>
      <c r="AA26" s="514"/>
      <c r="AB26"/>
      <c r="AC26"/>
      <c r="AD26"/>
      <c r="AE26"/>
      <c r="AF26"/>
      <c r="AG26"/>
      <c r="AH26"/>
      <c r="AI26"/>
      <c r="AJ26"/>
      <c r="AK26"/>
      <c r="AL26"/>
      <c r="AM26"/>
      <c r="AN26"/>
      <c r="AO26" s="171"/>
      <c r="AP26" s="171"/>
      <c r="AQ26" s="171"/>
      <c r="AR26" s="171"/>
      <c r="AS26" s="171"/>
      <c r="AT26" s="171"/>
    </row>
    <row r="27" spans="2:46">
      <c r="B27" s="526" t="s">
        <v>216</v>
      </c>
      <c r="C27" s="419"/>
      <c r="D27" s="215"/>
      <c r="E27" s="215"/>
      <c r="F27" s="215"/>
      <c r="G27" s="215"/>
      <c r="H27" s="215"/>
      <c r="I27" s="215"/>
      <c r="J27" s="215"/>
      <c r="K27" s="215"/>
      <c r="L27" s="527"/>
      <c r="M27" s="215"/>
      <c r="N27" s="215"/>
      <c r="O27" s="215"/>
      <c r="R27" s="514"/>
      <c r="S27" s="514"/>
      <c r="T27" s="514"/>
      <c r="U27" s="514"/>
      <c r="V27" s="514"/>
      <c r="W27" s="514"/>
      <c r="X27" s="514"/>
      <c r="Y27" s="514"/>
      <c r="Z27" s="514"/>
      <c r="AA27" s="514"/>
      <c r="AO27" s="171"/>
      <c r="AP27" s="171"/>
      <c r="AQ27" s="171"/>
      <c r="AR27" s="171"/>
      <c r="AS27" s="171"/>
      <c r="AT27" s="171"/>
    </row>
    <row r="28" spans="2:46">
      <c r="B28" s="195"/>
      <c r="L28" s="49"/>
      <c r="R28" s="514"/>
      <c r="S28" s="514"/>
      <c r="T28" s="514"/>
      <c r="U28" s="514"/>
      <c r="V28" s="514"/>
      <c r="W28" s="514"/>
      <c r="X28" s="514"/>
      <c r="Y28" s="514"/>
      <c r="Z28" s="514"/>
      <c r="AA28" s="514"/>
      <c r="AO28" s="171"/>
      <c r="AP28" s="171"/>
      <c r="AQ28" s="171"/>
      <c r="AR28" s="171"/>
      <c r="AS28" s="171"/>
      <c r="AT28" s="171"/>
    </row>
    <row r="29" spans="2:46">
      <c r="B29" s="250" t="s">
        <v>215</v>
      </c>
      <c r="C29" s="252" t="s">
        <v>7</v>
      </c>
      <c r="D29" s="173">
        <f t="shared" ref="D29:K38" si="8">D48/D$66</f>
        <v>6.0568860949132462E-2</v>
      </c>
      <c r="E29" s="174">
        <f t="shared" si="8"/>
        <v>6.0604430253503018E-2</v>
      </c>
      <c r="F29" s="174">
        <f t="shared" si="8"/>
        <v>6.0672257569976504E-2</v>
      </c>
      <c r="G29" s="174">
        <f t="shared" si="8"/>
        <v>5.7754278878775496E-2</v>
      </c>
      <c r="H29" s="174">
        <f t="shared" si="8"/>
        <v>5.6023346198933337E-2</v>
      </c>
      <c r="I29" s="174">
        <f t="shared" si="8"/>
        <v>5.788702447242923E-2</v>
      </c>
      <c r="J29" s="174">
        <f t="shared" si="8"/>
        <v>6.1613714294715419E-2</v>
      </c>
      <c r="K29" s="175">
        <f t="shared" si="8"/>
        <v>6.4934577674823107E-2</v>
      </c>
      <c r="L29" s="171"/>
      <c r="M29" s="504">
        <f>AVERAGE(D48:INDEX(D48:K48,0,MATCH('RFPR cover'!$C$7,$D$6:$K$6,0)))/AVERAGE($D$66:INDEX($D$66:$K$66,0,MATCH('RFPR cover'!$C$7,$D$6:$K$6,0)))</f>
        <v>5.9028342703581642E-2</v>
      </c>
      <c r="N29" s="504">
        <f>AVERAGE(D48:K48)/AVERAGE($D$66:$K$66)</f>
        <v>5.9928593895968357E-2</v>
      </c>
      <c r="P29" s="319"/>
      <c r="R29" s="514"/>
      <c r="S29" s="514"/>
      <c r="T29" s="514"/>
      <c r="U29" s="514"/>
      <c r="V29" s="514"/>
      <c r="W29" s="514"/>
      <c r="X29" s="514"/>
      <c r="Y29" s="514"/>
      <c r="Z29" s="514"/>
      <c r="AA29" s="514"/>
      <c r="AO29" s="171"/>
      <c r="AP29" s="171"/>
      <c r="AQ29" s="171"/>
      <c r="AR29" s="171"/>
      <c r="AS29" s="171"/>
      <c r="AT29" s="171"/>
    </row>
    <row r="30" spans="2:46">
      <c r="B30" s="250" t="str">
        <f t="shared" ref="B30:B37" si="9">B49</f>
        <v>Totex outperformance</v>
      </c>
      <c r="C30" s="252" t="s">
        <v>7</v>
      </c>
      <c r="D30" s="173">
        <f t="shared" si="8"/>
        <v>-3.2698355467281781E-2</v>
      </c>
      <c r="E30" s="174">
        <f t="shared" si="8"/>
        <v>-2.0318769734352392E-2</v>
      </c>
      <c r="F30" s="174">
        <f t="shared" si="8"/>
        <v>-9.9382958319049232E-3</v>
      </c>
      <c r="G30" s="174">
        <f t="shared" si="8"/>
        <v>2.7214837360700222E-2</v>
      </c>
      <c r="H30" s="174">
        <f t="shared" si="8"/>
        <v>3.1456593663587495E-2</v>
      </c>
      <c r="I30" s="174">
        <f t="shared" si="8"/>
        <v>1.3005010814374333E-2</v>
      </c>
      <c r="J30" s="174">
        <f t="shared" si="8"/>
        <v>-2.2676977194779079E-2</v>
      </c>
      <c r="K30" s="175">
        <f t="shared" si="8"/>
        <v>-2.4189155947365298E-2</v>
      </c>
      <c r="L30" s="171"/>
      <c r="M30" s="175">
        <f>AVERAGE(D49:INDEX(D49:K49,0,MATCH('RFPR cover'!$C$7,$D$6:$K$6,0)))/AVERAGE($D$66:INDEX($D$66:$K$66,0,MATCH('RFPR cover'!$C$7,$D$6:$K$6,0)))</f>
        <v>4.4560220957758529E-4</v>
      </c>
      <c r="N30" s="175">
        <f t="shared" ref="N30:N38" si="10">AVERAGE(D49:K49)/AVERAGE($D$66:$K$66)</f>
        <v>-3.8384012666726141E-3</v>
      </c>
      <c r="R30" s="514"/>
      <c r="S30" s="514"/>
      <c r="T30" s="514"/>
      <c r="U30" s="514"/>
      <c r="V30" s="514"/>
      <c r="W30" s="514"/>
      <c r="X30" s="514"/>
      <c r="Y30" s="514"/>
      <c r="Z30" s="514"/>
      <c r="AA30" s="514"/>
      <c r="AO30" s="171"/>
      <c r="AP30" s="171"/>
      <c r="AQ30" s="171"/>
      <c r="AR30" s="171"/>
      <c r="AS30" s="171"/>
      <c r="AT30" s="171"/>
    </row>
    <row r="31" spans="2:46">
      <c r="B31" s="250" t="str">
        <f t="shared" si="9"/>
        <v>IQI Reward</v>
      </c>
      <c r="C31" s="252" t="s">
        <v>7</v>
      </c>
      <c r="D31" s="173">
        <f t="shared" si="8"/>
        <v>7.225810817428578E-3</v>
      </c>
      <c r="E31" s="174">
        <f t="shared" si="8"/>
        <v>7.0819497673030333E-3</v>
      </c>
      <c r="F31" s="174">
        <f t="shared" si="8"/>
        <v>6.8577724282708145E-3</v>
      </c>
      <c r="G31" s="174">
        <f t="shared" si="8"/>
        <v>6.5684802375151835E-3</v>
      </c>
      <c r="H31" s="174">
        <f t="shared" si="8"/>
        <v>6.4948679254104927E-3</v>
      </c>
      <c r="I31" s="174">
        <f t="shared" si="8"/>
        <v>6.7435138504834324E-3</v>
      </c>
      <c r="J31" s="174">
        <f t="shared" si="8"/>
        <v>6.9746578993673831E-3</v>
      </c>
      <c r="K31" s="175">
        <f t="shared" si="8"/>
        <v>7.2355406754334006E-3</v>
      </c>
      <c r="L31" s="171"/>
      <c r="M31" s="175">
        <f>AVERAGE(D50:INDEX(D50:K50,0,MATCH('RFPR cover'!$C$7,$D$6:$K$6,0)))/AVERAGE($D$66:INDEX($D$66:$K$66,0,MATCH('RFPR cover'!$C$7,$D$6:$K$6,0)))</f>
        <v>6.8316524436470424E-3</v>
      </c>
      <c r="N31" s="175">
        <f t="shared" si="10"/>
        <v>6.8876307563774993E-3</v>
      </c>
      <c r="R31" s="514"/>
      <c r="S31" s="514"/>
      <c r="T31" s="514"/>
      <c r="U31" s="514"/>
      <c r="V31" s="514"/>
      <c r="W31" s="514"/>
      <c r="X31" s="514"/>
      <c r="Y31" s="514"/>
      <c r="Z31" s="514"/>
      <c r="AA31" s="514"/>
      <c r="AO31" s="171"/>
      <c r="AP31" s="171"/>
      <c r="AQ31" s="171"/>
      <c r="AR31" s="171"/>
      <c r="AS31" s="171"/>
      <c r="AT31" s="171"/>
    </row>
    <row r="32" spans="2:46">
      <c r="B32" s="250" t="str">
        <f t="shared" si="9"/>
        <v>Broad measure of customer service</v>
      </c>
      <c r="C32" s="252" t="s">
        <v>7</v>
      </c>
      <c r="D32" s="173">
        <f t="shared" si="8"/>
        <v>5.9559735298739787E-3</v>
      </c>
      <c r="E32" s="174">
        <f t="shared" si="8"/>
        <v>5.6601332318202933E-3</v>
      </c>
      <c r="F32" s="174">
        <f t="shared" si="8"/>
        <v>5.8366598951163796E-3</v>
      </c>
      <c r="G32" s="174">
        <f t="shared" si="8"/>
        <v>5.7883183000930717E-3</v>
      </c>
      <c r="H32" s="174">
        <f t="shared" si="8"/>
        <v>5.6923309459905114E-3</v>
      </c>
      <c r="I32" s="174">
        <f t="shared" si="8"/>
        <v>5.6928533826196247E-3</v>
      </c>
      <c r="J32" s="174">
        <f t="shared" si="8"/>
        <v>5.9413525167423637E-3</v>
      </c>
      <c r="K32" s="175">
        <f t="shared" si="8"/>
        <v>6.101063775799366E-3</v>
      </c>
      <c r="L32" s="171"/>
      <c r="M32" s="175">
        <f>AVERAGE(D51:INDEX(D51:K51,0,MATCH('RFPR cover'!$C$7,$D$6:$K$6,0)))/AVERAGE($D$66:INDEX($D$66:$K$66,0,MATCH('RFPR cover'!$C$7,$D$6:$K$6,0)))</f>
        <v>5.783908520692117E-3</v>
      </c>
      <c r="N32" s="175">
        <f t="shared" si="10"/>
        <v>5.8306815839333764E-3</v>
      </c>
      <c r="R32" s="514"/>
      <c r="S32" s="514"/>
      <c r="T32" s="514"/>
      <c r="U32" s="514"/>
      <c r="V32" s="514"/>
      <c r="W32" s="514"/>
      <c r="X32" s="514"/>
      <c r="Y32" s="514"/>
      <c r="Z32" s="514"/>
      <c r="AA32" s="514"/>
      <c r="AO32" s="171"/>
      <c r="AP32" s="171"/>
      <c r="AQ32" s="171"/>
      <c r="AR32" s="171"/>
      <c r="AS32" s="171"/>
      <c r="AT32" s="171"/>
    </row>
    <row r="33" spans="2:46">
      <c r="B33" s="250" t="str">
        <f t="shared" si="9"/>
        <v>Interruptions-related quality of service</v>
      </c>
      <c r="C33" s="252" t="s">
        <v>7</v>
      </c>
      <c r="D33" s="173">
        <f t="shared" si="8"/>
        <v>1.9898205688587002E-2</v>
      </c>
      <c r="E33" s="174">
        <f t="shared" si="8"/>
        <v>1.947596388087464E-2</v>
      </c>
      <c r="F33" s="174">
        <f t="shared" si="8"/>
        <v>1.9178047226951635E-2</v>
      </c>
      <c r="G33" s="174">
        <f t="shared" si="8"/>
        <v>1.8051047687380053E-2</v>
      </c>
      <c r="H33" s="174">
        <f t="shared" si="8"/>
        <v>1.732164889582213E-2</v>
      </c>
      <c r="I33" s="174">
        <f t="shared" si="8"/>
        <v>1.7665153011269828E-2</v>
      </c>
      <c r="J33" s="174">
        <f t="shared" si="8"/>
        <v>1.8436255819019684E-2</v>
      </c>
      <c r="K33" s="175">
        <f t="shared" si="8"/>
        <v>1.8931846279416582E-2</v>
      </c>
      <c r="L33" s="171"/>
      <c r="M33" s="175">
        <f>AVERAGE(D52:INDEX(D52:K52,0,MATCH('RFPR cover'!$C$7,$D$6:$K$6,0)))/AVERAGE($D$66:INDEX($D$66:$K$66,0,MATCH('RFPR cover'!$C$7,$D$6:$K$6,0)))</f>
        <v>1.8735450647298323E-2</v>
      </c>
      <c r="N33" s="175">
        <f t="shared" si="10"/>
        <v>1.8581127729742325E-2</v>
      </c>
      <c r="R33" s="514"/>
      <c r="S33" s="514"/>
      <c r="T33" s="514"/>
      <c r="U33" s="514"/>
      <c r="V33" s="514"/>
      <c r="W33" s="514"/>
      <c r="X33" s="514"/>
      <c r="Y33" s="514"/>
      <c r="Z33" s="514"/>
      <c r="AA33" s="514"/>
      <c r="AO33" s="171"/>
      <c r="AP33" s="171"/>
      <c r="AQ33" s="171"/>
      <c r="AR33" s="171"/>
      <c r="AS33" s="171"/>
      <c r="AT33" s="171"/>
    </row>
    <row r="34" spans="2:46">
      <c r="B34" s="250" t="str">
        <f t="shared" si="9"/>
        <v>Incentive on connections engagement</v>
      </c>
      <c r="C34" s="252" t="s">
        <v>7</v>
      </c>
      <c r="D34" s="173">
        <f t="shared" si="8"/>
        <v>0</v>
      </c>
      <c r="E34" s="174">
        <f t="shared" si="8"/>
        <v>0</v>
      </c>
      <c r="F34" s="174">
        <f t="shared" si="8"/>
        <v>0</v>
      </c>
      <c r="G34" s="174">
        <f t="shared" si="8"/>
        <v>0</v>
      </c>
      <c r="H34" s="174">
        <f t="shared" si="8"/>
        <v>0</v>
      </c>
      <c r="I34" s="174">
        <f t="shared" si="8"/>
        <v>0</v>
      </c>
      <c r="J34" s="174">
        <f t="shared" si="8"/>
        <v>0</v>
      </c>
      <c r="K34" s="175">
        <f t="shared" si="8"/>
        <v>0</v>
      </c>
      <c r="L34" s="171"/>
      <c r="M34" s="175">
        <f>AVERAGE(D53:INDEX(D53:K53,0,MATCH('RFPR cover'!$C$7,$D$6:$K$6,0)))/AVERAGE($D$66:INDEX($D$66:$K$66,0,MATCH('RFPR cover'!$C$7,$D$6:$K$6,0)))</f>
        <v>0</v>
      </c>
      <c r="N34" s="175">
        <f t="shared" si="10"/>
        <v>0</v>
      </c>
      <c r="R34" s="514"/>
      <c r="S34" s="514"/>
      <c r="T34" s="514"/>
      <c r="U34" s="514"/>
      <c r="V34" s="514"/>
      <c r="W34" s="514"/>
      <c r="X34" s="514"/>
      <c r="Y34" s="514"/>
      <c r="Z34" s="514"/>
      <c r="AA34" s="514"/>
      <c r="AO34" s="171"/>
      <c r="AP34" s="171"/>
      <c r="AQ34" s="171"/>
      <c r="AR34" s="171"/>
      <c r="AS34" s="171"/>
      <c r="AT34" s="171"/>
    </row>
    <row r="35" spans="2:46">
      <c r="B35" s="250" t="str">
        <f t="shared" si="9"/>
        <v>Time to Connect Incentive</v>
      </c>
      <c r="C35" s="252" t="s">
        <v>7</v>
      </c>
      <c r="D35" s="173">
        <f t="shared" si="8"/>
        <v>1.5147368556385386E-3</v>
      </c>
      <c r="E35" s="174">
        <f t="shared" si="8"/>
        <v>1.2672722859511428E-3</v>
      </c>
      <c r="F35" s="174">
        <f t="shared" si="8"/>
        <v>1.703920738367466E-3</v>
      </c>
      <c r="G35" s="174">
        <f t="shared" si="8"/>
        <v>1.6317331242829429E-3</v>
      </c>
      <c r="H35" s="174">
        <f t="shared" si="8"/>
        <v>1.4964900251131685E-3</v>
      </c>
      <c r="I35" s="174">
        <f t="shared" si="8"/>
        <v>1.3398740188957283E-3</v>
      </c>
      <c r="J35" s="174">
        <f t="shared" si="8"/>
        <v>1.3983609517483583E-3</v>
      </c>
      <c r="K35" s="175">
        <f t="shared" si="8"/>
        <v>1.4359507072106942E-3</v>
      </c>
      <c r="L35" s="171"/>
      <c r="M35" s="175">
        <f>AVERAGE(D54:INDEX(D54:K54,0,MATCH('RFPR cover'!$C$7,$D$6:$K$6,0)))/AVERAGE($D$66:INDEX($D$66:$K$66,0,MATCH('RFPR cover'!$C$7,$D$6:$K$6,0)))</f>
        <v>1.524428528854396E-3</v>
      </c>
      <c r="N35" s="175">
        <f t="shared" si="10"/>
        <v>1.473425903936911E-3</v>
      </c>
      <c r="R35" s="514"/>
      <c r="S35" s="514"/>
      <c r="T35" s="514"/>
      <c r="U35" s="514"/>
      <c r="V35" s="514"/>
      <c r="W35" s="514"/>
      <c r="X35" s="514"/>
      <c r="Y35" s="514"/>
      <c r="Z35" s="514"/>
      <c r="AA35" s="514"/>
      <c r="AO35" s="171"/>
      <c r="AP35" s="171"/>
      <c r="AQ35" s="171"/>
      <c r="AR35" s="171"/>
      <c r="AS35" s="171"/>
      <c r="AT35" s="171"/>
    </row>
    <row r="36" spans="2:46">
      <c r="B36" s="250" t="str">
        <f t="shared" si="9"/>
        <v>Losses discretionary reward scheme</v>
      </c>
      <c r="C36" s="252" t="s">
        <v>7</v>
      </c>
      <c r="D36" s="173">
        <f t="shared" si="8"/>
        <v>0</v>
      </c>
      <c r="E36" s="174">
        <f t="shared" si="8"/>
        <v>4.401347769689185E-5</v>
      </c>
      <c r="F36" s="174">
        <f t="shared" si="8"/>
        <v>0</v>
      </c>
      <c r="G36" s="174">
        <f t="shared" si="8"/>
        <v>0</v>
      </c>
      <c r="H36" s="174">
        <f t="shared" si="8"/>
        <v>0</v>
      </c>
      <c r="I36" s="174">
        <f t="shared" si="8"/>
        <v>0</v>
      </c>
      <c r="J36" s="174">
        <f t="shared" si="8"/>
        <v>0</v>
      </c>
      <c r="K36" s="175">
        <f t="shared" si="8"/>
        <v>0</v>
      </c>
      <c r="L36" s="171"/>
      <c r="M36" s="175">
        <f>AVERAGE(D55:INDEX(D55:K55,0,MATCH('RFPR cover'!$C$7,$D$6:$K$6,0)))/AVERAGE($D$66:INDEX($D$66:$K$66,0,MATCH('RFPR cover'!$C$7,$D$6:$K$6,0)))</f>
        <v>8.4680002925642153E-6</v>
      </c>
      <c r="N36" s="175">
        <f t="shared" si="10"/>
        <v>5.2489061383452895E-6</v>
      </c>
      <c r="R36" s="514"/>
      <c r="S36" s="514"/>
      <c r="T36" s="514"/>
      <c r="U36" s="514"/>
      <c r="V36" s="514"/>
      <c r="W36" s="514"/>
      <c r="X36" s="514"/>
      <c r="Y36" s="514"/>
      <c r="Z36" s="514"/>
      <c r="AA36" s="514"/>
      <c r="AO36" s="171"/>
      <c r="AP36" s="171"/>
      <c r="AQ36" s="171"/>
      <c r="AR36" s="171"/>
      <c r="AS36" s="171"/>
      <c r="AT36" s="171"/>
    </row>
    <row r="37" spans="2:46">
      <c r="B37" s="250" t="str">
        <f t="shared" si="9"/>
        <v xml:space="preserve">Network Innovation </v>
      </c>
      <c r="C37" s="252" t="s">
        <v>7</v>
      </c>
      <c r="D37" s="173">
        <f t="shared" si="8"/>
        <v>-5.0491552900678253E-5</v>
      </c>
      <c r="E37" s="174">
        <f t="shared" si="8"/>
        <v>-2.4564146536180638E-4</v>
      </c>
      <c r="F37" s="174">
        <f t="shared" si="8"/>
        <v>1.9108357325693476E-5</v>
      </c>
      <c r="G37" s="174">
        <f t="shared" si="8"/>
        <v>1.0929311441351711E-3</v>
      </c>
      <c r="H37" s="174">
        <f t="shared" si="8"/>
        <v>-3.1130191915871788E-4</v>
      </c>
      <c r="I37" s="174">
        <f t="shared" si="8"/>
        <v>-2.3830270458682614E-4</v>
      </c>
      <c r="J37" s="174">
        <f t="shared" si="8"/>
        <v>-2.5474591199101912E-4</v>
      </c>
      <c r="K37" s="175">
        <f t="shared" si="8"/>
        <v>-4.3515119537967077E-4</v>
      </c>
      <c r="L37" s="171"/>
      <c r="M37" s="175">
        <f>AVERAGE(D56:INDEX(D56:K56,0,MATCH('RFPR cover'!$C$7,$D$6:$K$6,0)))/AVERAGE($D$66:INDEX($D$66:$K$66,0,MATCH('RFPR cover'!$C$7,$D$6:$K$6,0)))</f>
        <v>1.0649670529885635E-4</v>
      </c>
      <c r="N37" s="175">
        <f t="shared" si="10"/>
        <v>-5.0799910872553462E-5</v>
      </c>
      <c r="R37" s="514"/>
      <c r="S37" s="514"/>
      <c r="T37" s="514"/>
      <c r="U37" s="514"/>
      <c r="V37" s="514"/>
      <c r="W37" s="514"/>
      <c r="X37" s="514"/>
      <c r="Y37" s="514"/>
      <c r="Z37" s="514"/>
      <c r="AA37" s="514"/>
      <c r="AO37" s="171"/>
      <c r="AP37" s="171"/>
      <c r="AQ37" s="171"/>
      <c r="AR37" s="171"/>
      <c r="AS37" s="171"/>
      <c r="AT37" s="171"/>
    </row>
    <row r="38" spans="2:46">
      <c r="B38" s="250" t="str">
        <f>B57</f>
        <v>Penalties and fines</v>
      </c>
      <c r="C38" s="252" t="s">
        <v>7</v>
      </c>
      <c r="D38" s="183">
        <f t="shared" si="8"/>
        <v>-1.8848747733430037E-6</v>
      </c>
      <c r="E38" s="184">
        <f t="shared" si="8"/>
        <v>-9.482422562241993E-7</v>
      </c>
      <c r="F38" s="184">
        <f t="shared" si="8"/>
        <v>-1.3163336621279188E-6</v>
      </c>
      <c r="G38" s="184">
        <f t="shared" si="8"/>
        <v>-1.144994124855092E-7</v>
      </c>
      <c r="H38" s="184">
        <f t="shared" si="8"/>
        <v>-5.692790949639033E-6</v>
      </c>
      <c r="I38" s="184">
        <f t="shared" si="8"/>
        <v>-1.8422954135406617E-6</v>
      </c>
      <c r="J38" s="184">
        <f t="shared" si="8"/>
        <v>-1.8827060731544307E-6</v>
      </c>
      <c r="K38" s="185">
        <f t="shared" si="8"/>
        <v>-1.8847825039919676E-6</v>
      </c>
      <c r="L38" s="171"/>
      <c r="M38" s="185">
        <f>AVERAGE(D57:INDEX(D57:K57,0,MATCH('RFPR cover'!$C$7,$D$6:$K$6,0)))/AVERAGE($D$66:INDEX($D$66:$K$66,0,MATCH('RFPR cover'!$C$7,$D$6:$K$6,0)))</f>
        <v>-2.0498310148543694E-6</v>
      </c>
      <c r="N38" s="185">
        <f t="shared" si="10"/>
        <v>-1.9812402781921058E-6</v>
      </c>
      <c r="R38" s="514"/>
      <c r="S38" s="514"/>
      <c r="T38" s="514"/>
      <c r="U38" s="514"/>
      <c r="V38" s="514"/>
      <c r="W38" s="514"/>
      <c r="X38" s="514"/>
      <c r="Y38" s="514"/>
      <c r="Z38" s="514"/>
      <c r="AA38" s="514"/>
      <c r="AO38" s="171"/>
      <c r="AP38" s="171"/>
      <c r="AQ38" s="171"/>
      <c r="AR38" s="171"/>
      <c r="AS38" s="171"/>
      <c r="AT38" s="171"/>
    </row>
    <row r="39" spans="2:46">
      <c r="B39" s="251" t="str">
        <f>B58</f>
        <v>RoRE - Operational performance</v>
      </c>
      <c r="C39" s="252" t="s">
        <v>7</v>
      </c>
      <c r="D39" s="186">
        <f t="shared" ref="D39:K39" si="11">SUM(D29:D38)</f>
        <v>6.2412855945704761E-2</v>
      </c>
      <c r="E39" s="187">
        <f t="shared" si="11"/>
        <v>7.356840345517858E-2</v>
      </c>
      <c r="F39" s="187">
        <f t="shared" si="11"/>
        <v>8.4328154050441431E-2</v>
      </c>
      <c r="G39" s="187">
        <f t="shared" si="11"/>
        <v>0.11810151223346967</v>
      </c>
      <c r="H39" s="187">
        <f t="shared" si="11"/>
        <v>0.11816828294474878</v>
      </c>
      <c r="I39" s="187">
        <f t="shared" si="11"/>
        <v>0.1020932845500718</v>
      </c>
      <c r="J39" s="187">
        <f t="shared" si="11"/>
        <v>7.1430735668749953E-2</v>
      </c>
      <c r="K39" s="188">
        <f t="shared" si="11"/>
        <v>7.4012787187434204E-2</v>
      </c>
      <c r="L39" s="172"/>
      <c r="M39" s="188">
        <f>SUM(M29:M38)</f>
        <v>9.2462299928227687E-2</v>
      </c>
      <c r="N39" s="188">
        <f>SUM(N29:N38)</f>
        <v>8.8815526358273458E-2</v>
      </c>
      <c r="R39" s="514"/>
      <c r="S39" s="514"/>
      <c r="T39" s="514"/>
      <c r="U39" s="514"/>
      <c r="V39" s="514"/>
      <c r="W39" s="514"/>
      <c r="X39" s="514"/>
      <c r="Y39" s="514"/>
      <c r="Z39" s="514"/>
      <c r="AA39" s="514"/>
      <c r="AO39" s="171"/>
      <c r="AP39" s="171"/>
      <c r="AQ39" s="171"/>
      <c r="AR39" s="171"/>
      <c r="AS39" s="171"/>
      <c r="AT39" s="171"/>
    </row>
    <row r="40" spans="2:46">
      <c r="B40" s="250" t="s">
        <v>458</v>
      </c>
      <c r="C40" s="252" t="s">
        <v>7</v>
      </c>
      <c r="D40" s="173">
        <f>(D59+D60)/D$66</f>
        <v>-2.8899192684376362E-2</v>
      </c>
      <c r="E40" s="174">
        <f t="shared" ref="E40:K40" si="12">(E59+E60)/E$66</f>
        <v>-1.2453156195398329E-2</v>
      </c>
      <c r="F40" s="174">
        <f t="shared" si="12"/>
        <v>8.4143096711474779E-3</v>
      </c>
      <c r="G40" s="174">
        <f t="shared" si="12"/>
        <v>-4.0425861957385061E-3</v>
      </c>
      <c r="H40" s="174">
        <f t="shared" si="12"/>
        <v>-1.2564371681506257E-2</v>
      </c>
      <c r="I40" s="174">
        <f t="shared" si="12"/>
        <v>-3.1397162146087884E-2</v>
      </c>
      <c r="J40" s="174">
        <f t="shared" si="12"/>
        <v>-2.9851872900437951E-2</v>
      </c>
      <c r="K40" s="175">
        <f t="shared" si="12"/>
        <v>-2.7927193375973481E-2</v>
      </c>
      <c r="L40" s="171"/>
      <c r="M40" s="175">
        <f>(AVERAGE(D59:INDEX(D59:K59,0,MATCH('RFPR cover'!$C$7,$D$6:$K$6,0)))+AVERAGE(D60:INDEX(D60:K60,0,MATCH('RFPR cover'!$C$7,$D$6:$K$6,0))))/AVERAGE($D$66:INDEX($D$66:$K$66,0,MATCH('RFPR cover'!$C$7,$D$6:$K$6,0)))</f>
        <v>-9.7511494981512067E-3</v>
      </c>
      <c r="N40" s="175">
        <f>(AVERAGE(D59:K59)+AVERAGE(D60:K60))/AVERAGE($D$66:$K$66)</f>
        <v>-1.7359450081293724E-2</v>
      </c>
      <c r="R40" s="514"/>
      <c r="S40" s="514"/>
      <c r="T40" s="514"/>
      <c r="U40" s="514"/>
      <c r="V40" s="514"/>
      <c r="W40" s="514"/>
      <c r="X40" s="514"/>
      <c r="Y40" s="514"/>
      <c r="Z40" s="514"/>
      <c r="AA40" s="514"/>
      <c r="AO40" s="171"/>
      <c r="AP40" s="171"/>
      <c r="AQ40" s="171"/>
      <c r="AR40" s="171"/>
      <c r="AS40" s="171"/>
      <c r="AT40" s="171"/>
    </row>
    <row r="41" spans="2:46">
      <c r="B41" s="250" t="s">
        <v>459</v>
      </c>
      <c r="C41" s="252" t="s">
        <v>7</v>
      </c>
      <c r="D41" s="173">
        <f>(D61+D62)/D$66</f>
        <v>-8.4804576133005738E-3</v>
      </c>
      <c r="E41" s="174">
        <f t="shared" ref="E41:K41" si="13">(E61+E62)/E$66</f>
        <v>3.9710563775733837E-3</v>
      </c>
      <c r="F41" s="174">
        <f t="shared" si="13"/>
        <v>-3.1120825591448016E-3</v>
      </c>
      <c r="G41" s="174">
        <f t="shared" si="13"/>
        <v>-9.3423925818908178E-4</v>
      </c>
      <c r="H41" s="174">
        <f t="shared" si="13"/>
        <v>-7.5045005286638504E-3</v>
      </c>
      <c r="I41" s="174">
        <f t="shared" si="13"/>
        <v>-9.5978126093124588E-3</v>
      </c>
      <c r="J41" s="174">
        <f t="shared" si="13"/>
        <v>-1.1465505117141726E-2</v>
      </c>
      <c r="K41" s="175">
        <f t="shared" si="13"/>
        <v>-1.0141250833039538E-2</v>
      </c>
      <c r="L41" s="171"/>
      <c r="M41" s="175">
        <f>(AVERAGE(D61:INDEX(D61:K61,0,MATCH('RFPR cover'!$C$7,$D$6:$K$6,0)))+AVERAGE(D62:INDEX(D62:K62,0,MATCH('RFPR cover'!$C$7,$D$6:$K$6,0))))/AVERAGE($D$66:INDEX($D$66:$K$66,0,MATCH('RFPR cover'!$C$7,$D$6:$K$6,0)))</f>
        <v>-3.2583549706677287E-3</v>
      </c>
      <c r="N41" s="175">
        <f>(AVERAGE(D61:K61)+AVERAGE(D62:K62))/AVERAGE($D$66:$K$66)</f>
        <v>-5.9702551552934455E-3</v>
      </c>
      <c r="R41" s="514"/>
      <c r="S41" s="514"/>
      <c r="T41" s="514"/>
      <c r="U41" s="514"/>
      <c r="V41" s="514"/>
      <c r="W41" s="514"/>
      <c r="X41" s="514"/>
      <c r="Y41" s="514"/>
      <c r="Z41" s="514"/>
      <c r="AA41" s="514"/>
      <c r="AO41" s="171"/>
      <c r="AP41" s="171"/>
      <c r="AQ41" s="171"/>
      <c r="AR41" s="171"/>
      <c r="AS41" s="171"/>
      <c r="AT41" s="171"/>
    </row>
    <row r="42" spans="2:46">
      <c r="B42" s="251" t="str">
        <f>B63</f>
        <v>RoRE - including financing and tax</v>
      </c>
      <c r="C42" s="252" t="s">
        <v>7</v>
      </c>
      <c r="D42" s="189">
        <f>SUM(D39:D41)</f>
        <v>2.5033205648027829E-2</v>
      </c>
      <c r="E42" s="190">
        <f t="shared" ref="E42:K42" si="14">SUM(E39:E41)</f>
        <v>6.508630363735364E-2</v>
      </c>
      <c r="F42" s="190">
        <f t="shared" si="14"/>
        <v>8.9630381162444109E-2</v>
      </c>
      <c r="G42" s="190">
        <f t="shared" si="14"/>
        <v>0.11312468677954207</v>
      </c>
      <c r="H42" s="190">
        <f t="shared" si="14"/>
        <v>9.8099410734578674E-2</v>
      </c>
      <c r="I42" s="190">
        <f t="shared" si="14"/>
        <v>6.1098309794671457E-2</v>
      </c>
      <c r="J42" s="190">
        <f t="shared" si="14"/>
        <v>3.0113357651170278E-2</v>
      </c>
      <c r="K42" s="191">
        <f t="shared" si="14"/>
        <v>3.5944342978421188E-2</v>
      </c>
      <c r="L42" s="172"/>
      <c r="M42" s="191">
        <f>SUM(M39:M41)</f>
        <v>7.9452795459408754E-2</v>
      </c>
      <c r="N42" s="191">
        <f>SUM(N39:N41)</f>
        <v>6.54858211216863E-2</v>
      </c>
      <c r="R42" s="514"/>
      <c r="S42" s="514"/>
      <c r="T42" s="514"/>
      <c r="U42" s="514"/>
      <c r="V42" s="514"/>
      <c r="W42" s="514"/>
      <c r="X42" s="514"/>
      <c r="Y42" s="514"/>
      <c r="Z42" s="514"/>
      <c r="AA42" s="514"/>
      <c r="AO42" s="171"/>
      <c r="AP42" s="171"/>
      <c r="AQ42" s="171"/>
      <c r="AR42" s="171"/>
      <c r="AS42" s="171"/>
      <c r="AT42" s="171"/>
    </row>
    <row r="43" spans="2:46" s="31" customFormat="1">
      <c r="B43" s="466"/>
      <c r="C43" s="467"/>
      <c r="D43" s="468"/>
      <c r="E43" s="468"/>
      <c r="F43" s="468"/>
      <c r="G43" s="468"/>
      <c r="H43" s="468"/>
      <c r="I43" s="468"/>
      <c r="J43" s="468"/>
      <c r="K43" s="468"/>
      <c r="L43" s="469"/>
      <c r="M43" s="468"/>
      <c r="N43" s="468"/>
      <c r="Q43"/>
      <c r="R43" s="514"/>
      <c r="S43" s="514"/>
      <c r="T43" s="514"/>
      <c r="U43" s="514"/>
      <c r="V43" s="514"/>
      <c r="W43" s="514"/>
      <c r="X43" s="514"/>
      <c r="Y43" s="514"/>
      <c r="Z43" s="514"/>
      <c r="AA43" s="514"/>
      <c r="AB43"/>
      <c r="AC43"/>
      <c r="AD43"/>
      <c r="AE43"/>
      <c r="AF43"/>
      <c r="AG43"/>
      <c r="AH43"/>
      <c r="AI43"/>
      <c r="AJ43"/>
      <c r="AK43"/>
      <c r="AL43"/>
      <c r="AM43"/>
      <c r="AN43"/>
    </row>
    <row r="44" spans="2:46" s="31" customFormat="1">
      <c r="B44" s="466"/>
      <c r="C44" s="467"/>
      <c r="D44" s="468"/>
      <c r="E44" s="468"/>
      <c r="F44" s="468"/>
      <c r="G44" s="468"/>
      <c r="H44" s="468"/>
      <c r="I44" s="468"/>
      <c r="J44" s="468"/>
      <c r="K44" s="468"/>
      <c r="L44" s="469"/>
      <c r="M44" s="468"/>
      <c r="N44" s="468"/>
      <c r="Q44"/>
      <c r="R44" s="514"/>
      <c r="S44" s="514"/>
      <c r="T44" s="514"/>
      <c r="U44" s="514"/>
      <c r="V44" s="514"/>
      <c r="W44" s="514"/>
      <c r="X44" s="514"/>
      <c r="Y44" s="514"/>
      <c r="Z44" s="514"/>
      <c r="AA44" s="514"/>
      <c r="AB44"/>
      <c r="AC44"/>
      <c r="AD44"/>
      <c r="AE44"/>
      <c r="AF44"/>
      <c r="AG44"/>
      <c r="AH44"/>
      <c r="AI44"/>
      <c r="AJ44"/>
      <c r="AK44"/>
      <c r="AL44"/>
      <c r="AM44"/>
      <c r="AN44"/>
    </row>
    <row r="45" spans="2:46" s="31" customFormat="1">
      <c r="B45" s="520" t="s">
        <v>394</v>
      </c>
      <c r="C45" s="521"/>
      <c r="D45" s="522"/>
      <c r="E45" s="522"/>
      <c r="F45" s="522"/>
      <c r="G45" s="522"/>
      <c r="H45" s="522"/>
      <c r="I45" s="522"/>
      <c r="J45" s="522"/>
      <c r="K45" s="522"/>
      <c r="L45" s="523"/>
      <c r="M45" s="522"/>
      <c r="N45" s="522"/>
      <c r="O45" s="215"/>
      <c r="R45" s="514"/>
      <c r="S45" s="514"/>
      <c r="T45" s="514"/>
      <c r="U45" s="514"/>
      <c r="V45" s="514"/>
      <c r="W45" s="514"/>
      <c r="X45" s="514"/>
      <c r="Y45" s="514"/>
      <c r="Z45" s="514"/>
      <c r="AA45" s="514"/>
    </row>
    <row r="46" spans="2:46" s="31" customFormat="1">
      <c r="B46" s="525" t="str">
        <f>"Input values provided in "&amp;'RFPR cover'!C14&amp;" prices"</f>
        <v>Input values provided in £m 12/13 prices</v>
      </c>
      <c r="C46" s="524"/>
      <c r="D46" s="524"/>
      <c r="E46" s="524"/>
      <c r="F46" s="524"/>
      <c r="G46" s="524"/>
      <c r="H46" s="524"/>
      <c r="I46" s="524"/>
      <c r="J46" s="524"/>
      <c r="K46" s="524"/>
      <c r="L46" s="524"/>
      <c r="M46" s="524"/>
      <c r="N46" s="524"/>
      <c r="O46" s="524"/>
      <c r="R46" s="514"/>
      <c r="S46" s="514"/>
      <c r="T46" s="514"/>
      <c r="U46" s="514"/>
      <c r="V46" s="514"/>
      <c r="W46" s="514"/>
      <c r="X46" s="514"/>
      <c r="Y46" s="514"/>
      <c r="Z46" s="514"/>
      <c r="AA46" s="514"/>
    </row>
    <row r="47" spans="2:46">
      <c r="R47" s="514"/>
      <c r="S47" s="514"/>
      <c r="T47" s="514"/>
      <c r="U47" s="514"/>
      <c r="V47" s="514"/>
      <c r="W47" s="514"/>
      <c r="X47" s="514"/>
      <c r="Y47" s="514"/>
      <c r="Z47" s="514"/>
      <c r="AA47" s="514"/>
    </row>
    <row r="48" spans="2:46">
      <c r="B48" s="245" t="s">
        <v>228</v>
      </c>
      <c r="C48" s="338" t="str">
        <f>'RFPR cover'!$C$14</f>
        <v>£m 12/13</v>
      </c>
      <c r="D48" s="176">
        <f>'R9 - RAV'!D50</f>
        <v>43.640907779226829</v>
      </c>
      <c r="E48" s="177">
        <f>'R9 - RAV'!E50</f>
        <v>44.613233104098995</v>
      </c>
      <c r="F48" s="177">
        <f>'R9 - RAV'!F50</f>
        <v>45.356972296861827</v>
      </c>
      <c r="G48" s="177">
        <f>'R9 - RAV'!G50</f>
        <v>45.871193219654302</v>
      </c>
      <c r="H48" s="177">
        <f>'R9 - RAV'!H50</f>
        <v>46.370107100360151</v>
      </c>
      <c r="I48" s="177">
        <f>'R9 - RAV'!I50</f>
        <v>46.980983936666171</v>
      </c>
      <c r="J48" s="177">
        <f>'R9 - RAV'!J50</f>
        <v>47.914057524197773</v>
      </c>
      <c r="K48" s="178">
        <f>'R9 - RAV'!K50</f>
        <v>49.174656627976184</v>
      </c>
      <c r="M48" s="93">
        <f>SUM(D48:INDEX(D48:K48,0,MATCH('RFPR cover'!$C$7,$D$6:$K$6,0)))</f>
        <v>225.85241350020209</v>
      </c>
      <c r="N48" s="93">
        <f>SUM(D48:K48)</f>
        <v>369.92211158904223</v>
      </c>
      <c r="R48" s="514"/>
      <c r="S48" s="514"/>
      <c r="T48" s="514"/>
      <c r="U48" s="514"/>
      <c r="V48" s="514"/>
      <c r="W48" s="514"/>
      <c r="X48" s="514"/>
      <c r="Y48" s="514"/>
      <c r="Z48" s="514"/>
      <c r="AA48" s="514"/>
    </row>
    <row r="49" spans="2:27">
      <c r="B49" s="245" t="s">
        <v>102</v>
      </c>
      <c r="C49" s="338" t="str">
        <f>'RFPR cover'!$C$14</f>
        <v>£m 12/13</v>
      </c>
      <c r="D49" s="249">
        <f>'R4 - Totex'!D35+'R4 - Totex'!D63</f>
        <v>-23.559728433368541</v>
      </c>
      <c r="E49" s="249">
        <f>'R4 - Totex'!E35+'R4 - Totex'!E63</f>
        <v>-14.957421540891044</v>
      </c>
      <c r="F49" s="249">
        <f>'R4 - Totex'!F35+'R4 - Totex'!F63</f>
        <v>-7.4296066568123171</v>
      </c>
      <c r="G49" s="249">
        <f>'R4 - Totex'!G35+'R4 - Totex'!G63</f>
        <v>21.615317293363713</v>
      </c>
      <c r="H49" s="249">
        <f>'R4 - Totex'!H35+'R4 - Totex'!H63</f>
        <v>26.036388687201171</v>
      </c>
      <c r="I49" s="249">
        <f>'R4 - Totex'!I35+'R4 - Totex'!I63</f>
        <v>10.55483866608648</v>
      </c>
      <c r="J49" s="249">
        <f>'R4 - Totex'!J35+'R4 - Totex'!J63</f>
        <v>-17.634807481144801</v>
      </c>
      <c r="K49" s="249">
        <f>'R4 - Totex'!K35+'R4 - Totex'!K63</f>
        <v>-18.318336399890921</v>
      </c>
      <c r="M49" s="93">
        <f>SUM(D49:INDEX(D49:K49,0,MATCH('RFPR cover'!$C$7,$D$6:$K$6,0)))</f>
        <v>1.7049493494929848</v>
      </c>
      <c r="N49" s="93">
        <f>SUM(D49:K49)</f>
        <v>-23.693355865456255</v>
      </c>
      <c r="R49" s="514"/>
      <c r="S49" s="514"/>
      <c r="T49" s="514"/>
      <c r="U49" s="514"/>
      <c r="V49" s="514"/>
      <c r="W49" s="514"/>
      <c r="X49" s="514"/>
      <c r="Y49" s="514"/>
      <c r="Z49" s="514"/>
      <c r="AA49" s="514"/>
    </row>
    <row r="50" spans="2:27">
      <c r="B50" s="247" t="s">
        <v>110</v>
      </c>
      <c r="C50" s="338" t="str">
        <f>'RFPR cover'!$C$14</f>
        <v>£m 12/13</v>
      </c>
      <c r="D50" s="240">
        <f>'R4 - Totex'!D79</f>
        <v>5.2063211784413932</v>
      </c>
      <c r="E50" s="179">
        <f>'R4 - Totex'!E79</f>
        <v>5.213293392556027</v>
      </c>
      <c r="F50" s="179">
        <f>'R4 - Totex'!F79</f>
        <v>5.1266889762345569</v>
      </c>
      <c r="G50" s="179">
        <f>'R4 - Totex'!G79</f>
        <v>5.2169991900854287</v>
      </c>
      <c r="H50" s="179">
        <f>'R4 - Totex'!H79</f>
        <v>5.3757538907897757</v>
      </c>
      <c r="I50" s="179">
        <f>'R4 - Totex'!I79</f>
        <v>5.4730212646729388</v>
      </c>
      <c r="J50" s="179">
        <f>'R4 - Totex'!J79</f>
        <v>5.4238599900566618</v>
      </c>
      <c r="K50" s="180">
        <f>'R4 - Totex'!K79</f>
        <v>5.4794416314522003</v>
      </c>
      <c r="M50" s="93">
        <f>SUM(D50:INDEX(D50:K50,0,MATCH('RFPR cover'!$C$7,$D$6:$K$6,0)))</f>
        <v>26.139056628107184</v>
      </c>
      <c r="N50" s="93">
        <f t="shared" ref="N50:N57" si="15">SUM(D50:K50)</f>
        <v>42.515379514288981</v>
      </c>
      <c r="R50" s="514"/>
      <c r="S50" s="514"/>
      <c r="T50" s="514"/>
      <c r="U50" s="514"/>
      <c r="V50" s="514"/>
      <c r="W50" s="514"/>
      <c r="X50" s="514"/>
      <c r="Y50" s="514"/>
      <c r="Z50" s="514"/>
      <c r="AA50" s="514"/>
    </row>
    <row r="51" spans="2:27">
      <c r="B51" s="248" t="str">
        <f>'R5 - Output Incentives'!B39</f>
        <v>Broad measure of customer service</v>
      </c>
      <c r="C51" s="338" t="str">
        <f>'RFPR cover'!$C$14</f>
        <v>£m 12/13</v>
      </c>
      <c r="D51" s="240">
        <f>'R5 - Output Incentives'!D39</f>
        <v>4.2913815363151437</v>
      </c>
      <c r="E51" s="179">
        <f>'R5 - Output Incentives'!E39</f>
        <v>4.1666400000000019</v>
      </c>
      <c r="F51" s="179">
        <f>'R5 - Output Incentives'!F39</f>
        <v>4.3633323000000015</v>
      </c>
      <c r="G51" s="179">
        <f>'R5 - Output Incentives'!G39</f>
        <v>4.597357500000002</v>
      </c>
      <c r="H51" s="179">
        <f>'R5 - Output Incentives'!H39</f>
        <v>4.7115</v>
      </c>
      <c r="I51" s="179">
        <f>'R5 - Output Incentives'!I39</f>
        <v>4.6203074999999991</v>
      </c>
      <c r="J51" s="179">
        <f>'R5 - Output Incentives'!J39</f>
        <v>4.6203074999999991</v>
      </c>
      <c r="K51" s="180">
        <f>'R5 - Output Incentives'!K39</f>
        <v>4.6203074999999991</v>
      </c>
      <c r="M51" s="93">
        <f>SUM(D51:INDEX(D51:K51,0,MATCH('RFPR cover'!$C$7,$D$6:$K$6,0)))</f>
        <v>22.130211336315149</v>
      </c>
      <c r="N51" s="93">
        <f t="shared" si="15"/>
        <v>35.991133836315143</v>
      </c>
      <c r="R51" s="514"/>
      <c r="S51" s="514"/>
      <c r="T51" s="514"/>
      <c r="U51" s="514"/>
      <c r="V51" s="514"/>
      <c r="W51" s="514"/>
      <c r="X51" s="514"/>
      <c r="Y51" s="514"/>
      <c r="Z51" s="514"/>
      <c r="AA51" s="514"/>
    </row>
    <row r="52" spans="2:27">
      <c r="B52" s="248" t="str">
        <f>'R5 - Output Incentives'!B40</f>
        <v>Interruptions-related quality of service</v>
      </c>
      <c r="C52" s="338" t="str">
        <f>'RFPR cover'!$C$14</f>
        <v>£m 12/13</v>
      </c>
      <c r="D52" s="240">
        <f>'R5 - Output Incentives'!D40</f>
        <v>14.337</v>
      </c>
      <c r="E52" s="179">
        <f>'R5 - Output Incentives'!E40</f>
        <v>14.337</v>
      </c>
      <c r="F52" s="179">
        <f>'R5 - Output Incentives'!F40</f>
        <v>14.337</v>
      </c>
      <c r="G52" s="179">
        <f>'R5 - Output Incentives'!G40</f>
        <v>14.337</v>
      </c>
      <c r="H52" s="179">
        <f>'R5 - Output Incentives'!H40</f>
        <v>14.337</v>
      </c>
      <c r="I52" s="179">
        <f>'R5 - Output Incentives'!I40</f>
        <v>14.337</v>
      </c>
      <c r="J52" s="179">
        <f>'R5 - Output Incentives'!J40</f>
        <v>14.337</v>
      </c>
      <c r="K52" s="180">
        <f>'R5 - Output Incentives'!K40</f>
        <v>14.337</v>
      </c>
      <c r="M52" s="93">
        <f>SUM(D52:INDEX(D52:K52,0,MATCH('RFPR cover'!$C$7,$D$6:$K$6,0)))</f>
        <v>71.685000000000002</v>
      </c>
      <c r="N52" s="93">
        <f t="shared" si="15"/>
        <v>114.69600000000001</v>
      </c>
      <c r="R52" s="514"/>
      <c r="S52" s="514"/>
      <c r="T52" s="514"/>
      <c r="U52" s="514"/>
      <c r="V52" s="514"/>
      <c r="W52" s="514"/>
      <c r="X52" s="514"/>
      <c r="Y52" s="514"/>
      <c r="Z52" s="514"/>
      <c r="AA52" s="514"/>
    </row>
    <row r="53" spans="2:27">
      <c r="B53" s="248" t="str">
        <f>'R5 - Output Incentives'!B41</f>
        <v>Incentive on connections engagement</v>
      </c>
      <c r="C53" s="338" t="str">
        <f>'RFPR cover'!$C$14</f>
        <v>£m 12/13</v>
      </c>
      <c r="D53" s="240">
        <f>'R5 - Output Incentives'!D41</f>
        <v>0</v>
      </c>
      <c r="E53" s="179">
        <f>'R5 - Output Incentives'!E41</f>
        <v>0</v>
      </c>
      <c r="F53" s="179">
        <f>'R5 - Output Incentives'!F41</f>
        <v>0</v>
      </c>
      <c r="G53" s="179">
        <f>'R5 - Output Incentives'!G41</f>
        <v>0</v>
      </c>
      <c r="H53" s="179">
        <f>'R5 - Output Incentives'!H41</f>
        <v>0</v>
      </c>
      <c r="I53" s="179">
        <f>'R5 - Output Incentives'!I41</f>
        <v>0</v>
      </c>
      <c r="J53" s="179">
        <f>'R5 - Output Incentives'!J41</f>
        <v>0</v>
      </c>
      <c r="K53" s="180">
        <f>'R5 - Output Incentives'!K41</f>
        <v>0</v>
      </c>
      <c r="M53" s="93">
        <f>SUM(D53:INDEX(D53:K53,0,MATCH('RFPR cover'!$C$7,$D$6:$K$6,0)))</f>
        <v>0</v>
      </c>
      <c r="N53" s="93">
        <f t="shared" si="15"/>
        <v>0</v>
      </c>
      <c r="R53" s="514"/>
      <c r="S53" s="514"/>
      <c r="T53" s="514"/>
      <c r="U53" s="514"/>
      <c r="V53" s="514"/>
      <c r="W53" s="514"/>
      <c r="X53" s="514"/>
      <c r="Y53" s="514"/>
      <c r="Z53" s="514"/>
      <c r="AA53" s="514"/>
    </row>
    <row r="54" spans="2:27">
      <c r="B54" s="248" t="str">
        <f>'R5 - Output Incentives'!B42</f>
        <v>Time to Connect Incentive</v>
      </c>
      <c r="C54" s="338" t="str">
        <f>'RFPR cover'!$C$14</f>
        <v>£m 12/13</v>
      </c>
      <c r="D54" s="240">
        <f>'R5 - Output Incentives'!D42</f>
        <v>1.0913940000000002</v>
      </c>
      <c r="E54" s="179">
        <f>'R5 - Output Incentives'!E42</f>
        <v>0.93288747477722245</v>
      </c>
      <c r="F54" s="179">
        <f>'R5 - Output Incentives'!F42</f>
        <v>1.2738060000000002</v>
      </c>
      <c r="G54" s="179">
        <f>'R5 - Output Incentives'!G42</f>
        <v>1.2960000000000003</v>
      </c>
      <c r="H54" s="179">
        <f>'R5 - Output Incentives'!H42</f>
        <v>1.2386336669843452</v>
      </c>
      <c r="I54" s="179">
        <f>'R5 - Output Incentives'!I42</f>
        <v>1.0874388575435947</v>
      </c>
      <c r="J54" s="179">
        <f>'R5 - Output Incentives'!J42</f>
        <v>1.0874388575435947</v>
      </c>
      <c r="K54" s="180">
        <f>'R5 - Output Incentives'!K42</f>
        <v>1.0874388575435947</v>
      </c>
      <c r="M54" s="93">
        <f>SUM(D54:INDEX(D54:K54,0,MATCH('RFPR cover'!$C$7,$D$6:$K$6,0)))</f>
        <v>5.8327211417615681</v>
      </c>
      <c r="N54" s="93">
        <f t="shared" si="15"/>
        <v>9.0950377143923511</v>
      </c>
      <c r="R54" s="514"/>
      <c r="S54" s="514"/>
      <c r="T54" s="514"/>
      <c r="U54" s="514"/>
      <c r="V54" s="514"/>
      <c r="W54" s="514"/>
      <c r="X54" s="514"/>
      <c r="Y54" s="514"/>
      <c r="Z54" s="514"/>
      <c r="AA54" s="514"/>
    </row>
    <row r="55" spans="2:27">
      <c r="B55" s="248" t="str">
        <f>'R5 - Output Incentives'!B43</f>
        <v>Losses discretionary reward scheme</v>
      </c>
      <c r="C55" s="338" t="str">
        <f>'RFPR cover'!$C$14</f>
        <v>£m 12/13</v>
      </c>
      <c r="D55" s="240">
        <f>'R5 - Output Incentives'!D43</f>
        <v>0</v>
      </c>
      <c r="E55" s="179">
        <f>'R5 - Output Incentives'!E43</f>
        <v>3.2400000000000005E-2</v>
      </c>
      <c r="F55" s="179">
        <f>'R5 - Output Incentives'!F43</f>
        <v>0</v>
      </c>
      <c r="G55" s="179">
        <f>'R5 - Output Incentives'!G43</f>
        <v>0</v>
      </c>
      <c r="H55" s="179">
        <f>'R5 - Output Incentives'!H43</f>
        <v>0</v>
      </c>
      <c r="I55" s="179">
        <f>'R5 - Output Incentives'!I43</f>
        <v>0</v>
      </c>
      <c r="J55" s="179">
        <f>'R5 - Output Incentives'!J43</f>
        <v>0</v>
      </c>
      <c r="K55" s="180">
        <f>'R5 - Output Incentives'!K43</f>
        <v>0</v>
      </c>
      <c r="M55" s="93">
        <f>SUM(D55:INDEX(D55:K55,0,MATCH('RFPR cover'!$C$7,$D$6:$K$6,0)))</f>
        <v>3.2400000000000005E-2</v>
      </c>
      <c r="N55" s="93">
        <f t="shared" si="15"/>
        <v>3.2400000000000005E-2</v>
      </c>
      <c r="R55" s="514"/>
      <c r="S55" s="514"/>
      <c r="T55" s="514"/>
      <c r="U55" s="514"/>
      <c r="V55" s="514"/>
      <c r="W55" s="514"/>
      <c r="X55" s="514"/>
      <c r="Y55" s="514"/>
      <c r="Z55" s="514"/>
      <c r="AA55" s="514"/>
    </row>
    <row r="56" spans="2:27">
      <c r="B56" s="245" t="s">
        <v>500</v>
      </c>
      <c r="C56" s="338" t="str">
        <f>'RFPR cover'!$C$14</f>
        <v>£m 12/13</v>
      </c>
      <c r="D56" s="240">
        <f>-'R6 - Innovation'!D28</f>
        <v>-3.6380033720941445E-2</v>
      </c>
      <c r="E56" s="179">
        <f>-'R6 - Innovation'!E28</f>
        <v>-0.18082605361322229</v>
      </c>
      <c r="F56" s="179">
        <f>-'R6 - Innovation'!F28</f>
        <v>1.4284901676197037E-2</v>
      </c>
      <c r="G56" s="179">
        <f>-'R6 - Innovation'!G28</f>
        <v>0.86805785929094825</v>
      </c>
      <c r="H56" s="179">
        <f>-'R6 - Innovation'!H28</f>
        <v>-0.25766228387500789</v>
      </c>
      <c r="I56" s="179">
        <f>-'R6 - Innovation'!I28</f>
        <v>-0.19340595994168147</v>
      </c>
      <c r="J56" s="179">
        <f>-'R6 - Innovation'!J28</f>
        <v>-0.19810378940648948</v>
      </c>
      <c r="K56" s="180">
        <f>-'R6 - Innovation'!K28</f>
        <v>-0.32953799624611141</v>
      </c>
      <c r="M56" s="93">
        <f>SUM(D56:INDEX(D56:K56,0,MATCH('RFPR cover'!$C$7,$D$6:$K$6,0)))</f>
        <v>0.40747438975797368</v>
      </c>
      <c r="N56" s="93">
        <f t="shared" si="15"/>
        <v>-0.31357335583630869</v>
      </c>
      <c r="R56" s="514"/>
      <c r="S56" s="514"/>
      <c r="T56" s="514"/>
      <c r="U56" s="514"/>
      <c r="V56" s="514"/>
      <c r="W56" s="514"/>
      <c r="X56" s="514"/>
      <c r="Y56" s="514"/>
      <c r="Z56" s="514"/>
      <c r="AA56" s="514"/>
    </row>
    <row r="57" spans="2:27">
      <c r="B57" s="245" t="s">
        <v>35</v>
      </c>
      <c r="C57" s="338" t="str">
        <f>'RFPR cover'!$C$14</f>
        <v>£m 12/13</v>
      </c>
      <c r="D57" s="241">
        <f>-'R13 - Other Activities '!D8</f>
        <v>-1.3580847463506953E-3</v>
      </c>
      <c r="E57" s="241">
        <f>-'R13 - Other Activities '!E8</f>
        <v>-6.9803729923922074E-4</v>
      </c>
      <c r="F57" s="241">
        <f>-'R13 - Other Activities '!F8</f>
        <v>-9.8405617060980262E-4</v>
      </c>
      <c r="G57" s="241">
        <f>-'R13 - Other Activities '!G8</f>
        <v>-9.0940875301792845E-5</v>
      </c>
      <c r="H57" s="241">
        <f>-'R13 - Other Activities '!H8</f>
        <v>-4.7118807415996314E-3</v>
      </c>
      <c r="I57" s="241">
        <f>-'R13 - Other Activities '!I8</f>
        <v>-1.495202975433147E-3</v>
      </c>
      <c r="J57" s="241">
        <f>-'R13 - Other Activities '!J8</f>
        <v>-1.4640910408158106E-3</v>
      </c>
      <c r="K57" s="241">
        <f>-'R13 - Other Activities '!K8</f>
        <v>-1.427337110227454E-3</v>
      </c>
      <c r="M57" s="93">
        <f>SUM(D57:INDEX(D57:K57,0,MATCH('RFPR cover'!$C$7,$D$6:$K$6,0)))</f>
        <v>-7.8429998331011434E-3</v>
      </c>
      <c r="N57" s="93">
        <f t="shared" si="15"/>
        <v>-1.2229630959577556E-2</v>
      </c>
      <c r="R57" s="514"/>
      <c r="S57" s="514"/>
      <c r="T57" s="514"/>
      <c r="U57" s="514"/>
      <c r="V57" s="514"/>
      <c r="W57" s="514"/>
      <c r="X57" s="514"/>
      <c r="Y57" s="514"/>
      <c r="Z57" s="514"/>
      <c r="AA57" s="514"/>
    </row>
    <row r="58" spans="2:27">
      <c r="B58" s="246" t="s">
        <v>103</v>
      </c>
      <c r="C58" s="338" t="str">
        <f>'RFPR cover'!$C$14</f>
        <v>£m 12/13</v>
      </c>
      <c r="D58" s="242">
        <f t="shared" ref="D58:K58" si="16">SUM(D48:D57)</f>
        <v>44.969537942147532</v>
      </c>
      <c r="E58" s="141">
        <f t="shared" si="16"/>
        <v>54.156508339628743</v>
      </c>
      <c r="F58" s="141">
        <f t="shared" si="16"/>
        <v>63.041493761789653</v>
      </c>
      <c r="G58" s="141">
        <f t="shared" si="16"/>
        <v>93.801834121519107</v>
      </c>
      <c r="H58" s="141">
        <f t="shared" si="16"/>
        <v>97.80700918071885</v>
      </c>
      <c r="I58" s="141">
        <f t="shared" si="16"/>
        <v>82.858689062052065</v>
      </c>
      <c r="J58" s="141">
        <f t="shared" si="16"/>
        <v>55.548288510205929</v>
      </c>
      <c r="K58" s="142">
        <f t="shared" si="16"/>
        <v>56.049542883724726</v>
      </c>
      <c r="M58" s="140">
        <f>SUM(M48:M57)</f>
        <v>353.77638334580382</v>
      </c>
      <c r="N58" s="142">
        <f>SUM(N48:N57)</f>
        <v>548.23290380178662</v>
      </c>
      <c r="R58" s="514"/>
      <c r="S58" s="514"/>
      <c r="T58" s="514"/>
      <c r="U58" s="514"/>
      <c r="V58" s="514"/>
      <c r="W58" s="514"/>
      <c r="X58" s="514"/>
      <c r="Y58" s="514"/>
      <c r="Z58" s="514"/>
      <c r="AA58" s="514"/>
    </row>
    <row r="59" spans="2:27">
      <c r="B59" s="245" t="s">
        <v>439</v>
      </c>
      <c r="C59" s="338" t="str">
        <f>'RFPR cover'!$C$14</f>
        <v>£m 12/13</v>
      </c>
      <c r="D59" s="240">
        <f>'R7 - Financing'!D88+'R10 - Tax'!D89</f>
        <v>-22.290300975818461</v>
      </c>
      <c r="E59" s="240">
        <f>'R7 - Financing'!E88+'R10 - Tax'!E89</f>
        <v>-10.21918078147525</v>
      </c>
      <c r="F59" s="240">
        <f>'R7 - Financing'!F88+'R10 - Tax'!F89</f>
        <v>5.7614969105324825</v>
      </c>
      <c r="G59" s="240">
        <f>'R7 - Financing'!G88+'R10 - Tax'!G89</f>
        <v>-4.6826479283671674</v>
      </c>
      <c r="H59" s="240">
        <f>'R7 - Financing'!H88+'R10 - Tax'!H89</f>
        <v>-12.692787371543684</v>
      </c>
      <c r="I59" s="240">
        <f>'R7 - Financing'!I88+'R10 - Tax'!I89</f>
        <v>-27.74387966781088</v>
      </c>
      <c r="J59" s="240">
        <f>'R7 - Financing'!J88+'R10 - Tax'!J89</f>
        <v>-23.893513993779088</v>
      </c>
      <c r="K59" s="240">
        <f>'R7 - Financing'!K88+'R10 - Tax'!K89</f>
        <v>-20.945604944227668</v>
      </c>
      <c r="M59" s="93">
        <f>SUM(D59:INDEX(D59:K59,0,MATCH('RFPR cover'!$C$7,$D$6:$K$6,0)))</f>
        <v>-44.123420146672082</v>
      </c>
      <c r="N59" s="93">
        <f>SUM(D59:K59)</f>
        <v>-116.70641875248971</v>
      </c>
      <c r="R59" s="514"/>
      <c r="S59" s="514"/>
      <c r="T59" s="514"/>
      <c r="U59" s="514"/>
      <c r="V59" s="514"/>
      <c r="W59" s="514"/>
      <c r="X59" s="514"/>
      <c r="Y59" s="514"/>
      <c r="Z59" s="514"/>
      <c r="AA59" s="514"/>
    </row>
    <row r="60" spans="2:27">
      <c r="B60" s="245" t="s">
        <v>434</v>
      </c>
      <c r="C60" s="338" t="str">
        <f>'RFPR cover'!$C$14</f>
        <v>£m 12/13</v>
      </c>
      <c r="D60" s="240">
        <f>'R7 - Financing'!D90+'R10 - Tax'!D90</f>
        <v>1.4679347785713643</v>
      </c>
      <c r="E60" s="240">
        <f>'R7 - Financing'!E90+'R10 - Tax'!E90</f>
        <v>1.0519374313911665</v>
      </c>
      <c r="F60" s="240">
        <f>'R7 - Financing'!F90+'R10 - Tax'!F90</f>
        <v>0.52881806927980524</v>
      </c>
      <c r="G60" s="240">
        <f>'R7 - Financing'!G90+'R10 - Tax'!G90</f>
        <v>1.4718338364613954</v>
      </c>
      <c r="H60" s="240">
        <f>'R7 - Financing'!H90+'R10 - Tax'!H90</f>
        <v>2.2933503502100678</v>
      </c>
      <c r="I60" s="240">
        <f>'R7 - Financing'!I90+'R10 - Tax'!I90</f>
        <v>2.262010736288711</v>
      </c>
      <c r="J60" s="240">
        <f>'R7 - Financing'!J90+'R10 - Tax'!J90</f>
        <v>0.67913109657234294</v>
      </c>
      <c r="K60" s="240">
        <f>'R7 - Financing'!K90+'R10 - Tax'!K90</f>
        <v>-0.20352998545181755</v>
      </c>
      <c r="M60" s="93">
        <f>SUM(D60:INDEX(D60:K60,0,MATCH('RFPR cover'!$C$7,$D$6:$K$6,0)))</f>
        <v>6.8138744659137984</v>
      </c>
      <c r="N60" s="93">
        <f>SUM(D60:K60)</f>
        <v>9.5514863133230357</v>
      </c>
      <c r="R60" s="514"/>
      <c r="S60" s="514"/>
      <c r="T60" s="514"/>
      <c r="U60" s="514"/>
      <c r="V60" s="514"/>
      <c r="W60" s="514"/>
      <c r="X60" s="514"/>
      <c r="Y60" s="514"/>
      <c r="Z60" s="514"/>
      <c r="AA60" s="514"/>
    </row>
    <row r="61" spans="2:27">
      <c r="B61" s="245" t="s">
        <v>440</v>
      </c>
      <c r="C61" s="338" t="str">
        <f>'RFPR cover'!$C$14</f>
        <v>£m 12/13</v>
      </c>
      <c r="D61" s="240">
        <f>'R10 - Tax'!D82-'R10 - Tax'!D89</f>
        <v>-6.1103158096122892</v>
      </c>
      <c r="E61" s="240">
        <f>'R10 - Tax'!E82-'R10 - Tax'!E89</f>
        <v>2.9232460911050326</v>
      </c>
      <c r="F61" s="240">
        <f>'R10 - Tax'!F82-'R10 - Tax'!F89</f>
        <v>-2.3265104691032259</v>
      </c>
      <c r="G61" s="240">
        <f>'R10 - Tax'!G82-'R10 - Tax'!G89</f>
        <v>-0.74201722119548386</v>
      </c>
      <c r="H61" s="240">
        <f>'R10 - Tax'!H82-'R10 - Tax'!H89</f>
        <v>-6.2114192896153302</v>
      </c>
      <c r="I61" s="240">
        <f>'R10 - Tax'!I82-'R10 - Tax'!I89</f>
        <v>-7.7895639676557389</v>
      </c>
      <c r="J61" s="240">
        <f>'R10 - Tax'!J82-'R10 - Tax'!J89</f>
        <v>-8.9161784517482126</v>
      </c>
      <c r="K61" s="240">
        <f>'R10 - Tax'!K82-'R10 - Tax'!K89</f>
        <v>-7.6799225520527745</v>
      </c>
      <c r="M61" s="93">
        <f>SUM(D61:INDEX(D61:K61,0,MATCH('RFPR cover'!$C$7,$D$6:$K$6,0)))</f>
        <v>-12.467016698421297</v>
      </c>
      <c r="N61" s="93">
        <f>SUM(D61:K61)</f>
        <v>-36.852681669878024</v>
      </c>
      <c r="R61" s="514"/>
      <c r="S61" s="514"/>
      <c r="T61" s="514"/>
      <c r="U61" s="514"/>
      <c r="V61" s="514"/>
      <c r="W61" s="514"/>
      <c r="X61" s="514"/>
      <c r="Y61" s="514"/>
      <c r="Z61" s="514"/>
      <c r="AA61" s="514"/>
    </row>
    <row r="62" spans="2:27">
      <c r="B62" s="245" t="s">
        <v>435</v>
      </c>
      <c r="C62" s="338" t="str">
        <f>'RFPR cover'!$C$14</f>
        <v>£m 12/13</v>
      </c>
      <c r="D62" s="240">
        <f>'R10 - Tax'!D84-'R10 - Tax'!D90</f>
        <v>8.8817841970012523E-16</v>
      </c>
      <c r="E62" s="240">
        <f>'R10 - Tax'!E84-'R10 - Tax'!E90</f>
        <v>4.4408920985006262E-16</v>
      </c>
      <c r="F62" s="240">
        <f>'R10 - Tax'!F84-'R10 - Tax'!F90</f>
        <v>2.6645352591003757E-15</v>
      </c>
      <c r="G62" s="240">
        <f>'R10 - Tax'!G84-'R10 - Tax'!G90</f>
        <v>2.55351295663786E-15</v>
      </c>
      <c r="H62" s="240">
        <f>'R10 - Tax'!H84-'R10 - Tax'!H90</f>
        <v>1.3322676295501878E-15</v>
      </c>
      <c r="I62" s="240">
        <f>'R10 - Tax'!I84-'R10 - Tax'!I90</f>
        <v>8.8817841970012523E-16</v>
      </c>
      <c r="J62" s="240">
        <f>'R10 - Tax'!J84-'R10 - Tax'!J90</f>
        <v>-1.7763568394002505E-15</v>
      </c>
      <c r="K62" s="240">
        <f>'R10 - Tax'!K84-'R10 - Tax'!K90</f>
        <v>-1.7763568394002505E-15</v>
      </c>
      <c r="M62" s="93">
        <f>SUM(D62:INDEX(D62:K62,0,MATCH('RFPR cover'!$C$7,$D$6:$K$6,0)))</f>
        <v>7.8825834748386114E-15</v>
      </c>
      <c r="N62" s="93">
        <f>SUM(D62:K62)</f>
        <v>5.2180482157382357E-15</v>
      </c>
      <c r="R62" s="514"/>
      <c r="S62" s="514"/>
      <c r="T62" s="514"/>
      <c r="U62" s="514"/>
      <c r="V62" s="514"/>
      <c r="W62" s="514"/>
      <c r="X62" s="514"/>
      <c r="Y62" s="514"/>
      <c r="Z62" s="514"/>
      <c r="AA62" s="514"/>
    </row>
    <row r="63" spans="2:27">
      <c r="B63" s="246" t="s">
        <v>104</v>
      </c>
      <c r="C63" s="338" t="str">
        <f>'RFPR cover'!$C$14</f>
        <v>£m 12/13</v>
      </c>
      <c r="D63" s="243">
        <f>SUM(D58:D62)</f>
        <v>18.036855935288148</v>
      </c>
      <c r="E63" s="144">
        <f t="shared" ref="E63:K63" si="17">SUM(E58:E62)</f>
        <v>47.912511080649693</v>
      </c>
      <c r="F63" s="144">
        <f t="shared" si="17"/>
        <v>67.00529827249872</v>
      </c>
      <c r="G63" s="144">
        <f t="shared" si="17"/>
        <v>89.84900280841785</v>
      </c>
      <c r="H63" s="144">
        <f t="shared" si="17"/>
        <v>81.19615286976989</v>
      </c>
      <c r="I63" s="144">
        <f t="shared" si="17"/>
        <v>49.587256162874155</v>
      </c>
      <c r="J63" s="144">
        <f t="shared" si="17"/>
        <v>23.417727161250966</v>
      </c>
      <c r="K63" s="145">
        <f t="shared" si="17"/>
        <v>27.22048540199247</v>
      </c>
      <c r="M63" s="143">
        <f>SUM(M58:M62)</f>
        <v>303.99982096662427</v>
      </c>
      <c r="N63" s="145">
        <f>SUM(N58:N62)</f>
        <v>404.22528969274197</v>
      </c>
      <c r="R63" s="514"/>
      <c r="S63" s="514"/>
      <c r="T63" s="514"/>
      <c r="U63" s="514"/>
      <c r="V63" s="514"/>
      <c r="W63" s="514"/>
      <c r="X63" s="514"/>
      <c r="Y63" s="514"/>
      <c r="Z63" s="514"/>
      <c r="AA63" s="514"/>
    </row>
    <row r="64" spans="2:27">
      <c r="B64" s="245"/>
      <c r="D64" s="416"/>
    </row>
    <row r="65" spans="2:11">
      <c r="B65" s="245" t="s">
        <v>232</v>
      </c>
      <c r="C65" s="338" t="str">
        <f>'RFPR cover'!$C$14</f>
        <v>£m 12/13</v>
      </c>
      <c r="D65" s="239">
        <f>'R9 - RAV'!D46</f>
        <v>681.8891840504192</v>
      </c>
      <c r="E65" s="177">
        <f>'R9 - RAV'!E46</f>
        <v>697.08176725154681</v>
      </c>
      <c r="F65" s="177">
        <f>'R9 - RAV'!F46</f>
        <v>708.70269213846598</v>
      </c>
      <c r="G65" s="177">
        <f>'R9 - RAV'!G46</f>
        <v>716.73739405709841</v>
      </c>
      <c r="H65" s="177">
        <f>'R9 - RAV'!H46</f>
        <v>724.5329234431274</v>
      </c>
      <c r="I65" s="177">
        <f>'R9 - RAV'!I46</f>
        <v>734.07787401040889</v>
      </c>
      <c r="J65" s="177">
        <f>'R9 - RAV'!J46</f>
        <v>748.65714881559018</v>
      </c>
      <c r="K65" s="178">
        <f>'R9 - RAV'!K46</f>
        <v>768.35400981212786</v>
      </c>
    </row>
    <row r="66" spans="2:11">
      <c r="B66" s="245" t="s">
        <v>107</v>
      </c>
      <c r="C66" s="338" t="str">
        <f>'RFPR cover'!$C$14</f>
        <v>£m 12/13</v>
      </c>
      <c r="D66" s="244">
        <f>'R8 - Net Debt'!D62</f>
        <v>720.51722775301596</v>
      </c>
      <c r="E66" s="181">
        <f>'R8 - Net Debt'!E62</f>
        <v>736.138148935412</v>
      </c>
      <c r="F66" s="181">
        <f>'R8 - Net Debt'!F62</f>
        <v>747.57350580781088</v>
      </c>
      <c r="G66" s="181">
        <f>'R8 - Net Debt'!G62</f>
        <v>794.247527805456</v>
      </c>
      <c r="H66" s="181">
        <f>'R8 - Net Debt'!H62</f>
        <v>827.69256473371843</v>
      </c>
      <c r="I66" s="181">
        <f>'R8 - Net Debt'!I62</f>
        <v>811.59783845933464</v>
      </c>
      <c r="J66" s="181">
        <f>'R8 - Net Debt'!J62</f>
        <v>777.65247676859076</v>
      </c>
      <c r="K66" s="182">
        <f>'R8 - Net Debt'!K62</f>
        <v>757.29539466986523</v>
      </c>
    </row>
  </sheetData>
  <conditionalFormatting sqref="D5:K6">
    <cfRule type="expression" dxfId="70"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L71"/>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64.36328125" style="211" customWidth="1"/>
    <col min="3" max="3" width="13.36328125" style="134" customWidth="1"/>
    <col min="4" max="11" width="11.08984375" customWidth="1"/>
    <col min="12" max="12" width="5" style="42" customWidth="1"/>
  </cols>
  <sheetData>
    <row r="1" spans="1:12" s="31" customFormat="1" ht="21">
      <c r="A1" s="915" t="s">
        <v>119</v>
      </c>
      <c r="B1" s="916"/>
      <c r="C1" s="273"/>
      <c r="D1" s="272"/>
      <c r="E1" s="272"/>
      <c r="F1" s="272"/>
      <c r="G1" s="272"/>
      <c r="H1" s="272"/>
      <c r="I1" s="272"/>
      <c r="J1" s="272"/>
      <c r="K1" s="272"/>
      <c r="L1" s="274"/>
    </row>
    <row r="2" spans="1:12" s="31" customFormat="1" ht="21">
      <c r="A2" s="904" t="str">
        <f>'RFPR cover'!C5</f>
        <v>WPD-WMID</v>
      </c>
      <c r="B2" s="917"/>
      <c r="C2" s="132"/>
      <c r="D2" s="29"/>
      <c r="E2" s="29"/>
      <c r="F2" s="29"/>
      <c r="G2" s="29"/>
      <c r="H2" s="29"/>
      <c r="I2" s="27"/>
      <c r="J2" s="27"/>
      <c r="K2" s="27"/>
      <c r="L2" s="121"/>
    </row>
    <row r="3" spans="1:12" s="31" customFormat="1" ht="21">
      <c r="A3" s="907">
        <f>'RFPR cover'!C7</f>
        <v>2020</v>
      </c>
      <c r="B3" s="918"/>
      <c r="C3" s="275"/>
      <c r="D3" s="258"/>
      <c r="E3" s="258"/>
      <c r="F3" s="258"/>
      <c r="G3" s="258"/>
      <c r="H3" s="258"/>
      <c r="I3" s="253"/>
      <c r="J3" s="253"/>
      <c r="K3" s="253"/>
      <c r="L3" s="259"/>
    </row>
    <row r="4" spans="1:12" s="35" customFormat="1" ht="12.75" customHeight="1">
      <c r="B4" s="223"/>
      <c r="C4" s="136"/>
      <c r="L4" s="58"/>
    </row>
    <row r="5" spans="1:12" s="2" customFormat="1">
      <c r="B5" s="127"/>
      <c r="C5" s="134"/>
      <c r="D5" s="385" t="str">
        <f>IF(D6&lt;='RFPR cover'!$C$7,"Actuals","Forecast")</f>
        <v>Actuals</v>
      </c>
      <c r="E5" s="386" t="str">
        <f>IF(E6&lt;='RFPR cover'!$C$7,"Actuals","Forecast")</f>
        <v>Actuals</v>
      </c>
      <c r="F5" s="386" t="str">
        <f>IF(F6&lt;='RFPR cover'!$C$7,"Actuals","Forecast")</f>
        <v>Actuals</v>
      </c>
      <c r="G5" s="386" t="str">
        <f>IF(G6&lt;='RFPR cover'!$C$7,"Actuals","Forecast")</f>
        <v>Actuals</v>
      </c>
      <c r="H5" s="386" t="str">
        <f>IF(H6&lt;='RFPR cover'!$C$7,"Actuals","Forecast")</f>
        <v>Actuals</v>
      </c>
      <c r="I5" s="386" t="str">
        <f>IF(I6&lt;='RFPR cover'!$C$7,"Actuals","Forecast")</f>
        <v>Forecast</v>
      </c>
      <c r="J5" s="386" t="str">
        <f>IF(J6&lt;='RFPR cover'!$C$7,"Actuals","Forecast")</f>
        <v>Forecast</v>
      </c>
      <c r="K5" s="387" t="str">
        <f>IF(K6&lt;='RFPR cover'!$C$7,"Actuals","Forecast")</f>
        <v>Forecast</v>
      </c>
      <c r="L5" s="54"/>
    </row>
    <row r="6" spans="1:12" s="2" customFormat="1">
      <c r="B6" s="127"/>
      <c r="C6" s="134"/>
      <c r="D6" s="88">
        <f>'RFPR cover'!$C$13</f>
        <v>2016</v>
      </c>
      <c r="E6" s="89">
        <f>D6+1</f>
        <v>2017</v>
      </c>
      <c r="F6" s="89">
        <f t="shared" ref="F6:K6" si="0">E6+1</f>
        <v>2018</v>
      </c>
      <c r="G6" s="89">
        <f t="shared" si="0"/>
        <v>2019</v>
      </c>
      <c r="H6" s="89">
        <f t="shared" si="0"/>
        <v>2020</v>
      </c>
      <c r="I6" s="89">
        <f t="shared" si="0"/>
        <v>2021</v>
      </c>
      <c r="J6" s="89">
        <f t="shared" si="0"/>
        <v>2022</v>
      </c>
      <c r="K6" s="89">
        <f t="shared" si="0"/>
        <v>2023</v>
      </c>
      <c r="L6" s="54"/>
    </row>
    <row r="7" spans="1:12" s="2" customFormat="1">
      <c r="B7" s="762"/>
      <c r="C7" s="150"/>
      <c r="D7" s="50"/>
      <c r="E7" s="50"/>
      <c r="F7" s="50"/>
      <c r="G7" s="50"/>
      <c r="H7" s="50"/>
      <c r="I7" s="50"/>
      <c r="J7" s="50"/>
      <c r="K7" s="50"/>
      <c r="L7" s="58"/>
    </row>
    <row r="8" spans="1:12" s="2" customFormat="1">
      <c r="B8" s="763" t="s">
        <v>155</v>
      </c>
      <c r="C8" s="148"/>
      <c r="D8" s="81"/>
      <c r="E8" s="81"/>
      <c r="F8" s="81"/>
      <c r="G8" s="81"/>
      <c r="H8" s="81"/>
      <c r="I8" s="81"/>
      <c r="J8" s="81"/>
      <c r="K8" s="81"/>
      <c r="L8" s="270"/>
    </row>
    <row r="9" spans="1:12" s="35" customFormat="1">
      <c r="A9" s="2"/>
      <c r="B9" s="764"/>
      <c r="C9" s="136"/>
      <c r="L9" s="58"/>
    </row>
    <row r="10" spans="1:12" s="2" customFormat="1">
      <c r="B10" s="765" t="s">
        <v>387</v>
      </c>
      <c r="C10" s="149" t="str">
        <f>'RFPR cover'!$C$14</f>
        <v>£m 12/13</v>
      </c>
      <c r="D10" s="590">
        <v>385.8</v>
      </c>
      <c r="E10" s="591">
        <v>398.1</v>
      </c>
      <c r="F10" s="591">
        <v>409.2</v>
      </c>
      <c r="G10" s="591">
        <v>413.3</v>
      </c>
      <c r="H10" s="591">
        <v>417.4</v>
      </c>
      <c r="I10" s="591"/>
      <c r="J10" s="591"/>
      <c r="K10" s="591"/>
      <c r="L10" s="58"/>
    </row>
    <row r="11" spans="1:12" s="2" customFormat="1">
      <c r="B11" s="765" t="s">
        <v>388</v>
      </c>
      <c r="C11" s="149" t="str">
        <f>'RFPR cover'!$C$14</f>
        <v>£m 12/13</v>
      </c>
      <c r="D11" s="592">
        <v>0</v>
      </c>
      <c r="E11" s="593">
        <v>0.8</v>
      </c>
      <c r="F11" s="593">
        <v>-2.8</v>
      </c>
      <c r="G11" s="593">
        <v>-7.6</v>
      </c>
      <c r="H11" s="593">
        <v>-12</v>
      </c>
      <c r="I11" s="593"/>
      <c r="J11" s="593"/>
      <c r="K11" s="593"/>
      <c r="L11" s="58"/>
    </row>
    <row r="12" spans="1:12" s="2" customFormat="1">
      <c r="B12" s="765" t="s">
        <v>147</v>
      </c>
      <c r="C12" s="149" t="str">
        <f>'RFPR cover'!$C$14</f>
        <v>£m 12/13</v>
      </c>
      <c r="D12" s="592">
        <v>0</v>
      </c>
      <c r="E12" s="593">
        <v>0</v>
      </c>
      <c r="F12" s="593">
        <v>-8.507444057423978</v>
      </c>
      <c r="G12" s="593">
        <v>-1.5708343112630785</v>
      </c>
      <c r="H12" s="593">
        <v>1.0177161141528941</v>
      </c>
      <c r="I12" s="593"/>
      <c r="J12" s="593"/>
      <c r="K12" s="593"/>
      <c r="L12" s="58"/>
    </row>
    <row r="13" spans="1:12" s="2" customFormat="1">
      <c r="B13" s="765" t="s">
        <v>376</v>
      </c>
      <c r="C13" s="150" t="s">
        <v>127</v>
      </c>
      <c r="D13" s="815">
        <v>1.0820000000000001</v>
      </c>
      <c r="E13" s="816">
        <v>1.087</v>
      </c>
      <c r="F13" s="816">
        <v>1.121</v>
      </c>
      <c r="G13" s="816">
        <v>1.159</v>
      </c>
      <c r="H13" s="816">
        <v>1.198</v>
      </c>
      <c r="I13" s="816"/>
      <c r="J13" s="816"/>
      <c r="K13" s="816"/>
      <c r="L13" s="58"/>
    </row>
    <row r="14" spans="1:12" s="2" customFormat="1">
      <c r="B14" s="766" t="s">
        <v>196</v>
      </c>
      <c r="C14" s="264" t="s">
        <v>128</v>
      </c>
      <c r="D14" s="625">
        <f>SUM(D10:D12)*D13</f>
        <v>417.43560000000002</v>
      </c>
      <c r="E14" s="626">
        <f t="shared" ref="E14:K14" si="1">SUM(E10:E12)*E13</f>
        <v>433.60430000000002</v>
      </c>
      <c r="F14" s="626">
        <f t="shared" si="1"/>
        <v>446.0375552116277</v>
      </c>
      <c r="G14" s="626">
        <f t="shared" si="1"/>
        <v>468.3857030332461</v>
      </c>
      <c r="H14" s="626">
        <f t="shared" si="1"/>
        <v>486.88842390475514</v>
      </c>
      <c r="I14" s="626">
        <f t="shared" si="1"/>
        <v>0</v>
      </c>
      <c r="J14" s="626">
        <f t="shared" si="1"/>
        <v>0</v>
      </c>
      <c r="K14" s="627">
        <f t="shared" si="1"/>
        <v>0</v>
      </c>
      <c r="L14" s="58"/>
    </row>
    <row r="15" spans="1:12" s="2" customFormat="1">
      <c r="B15" s="211" t="s">
        <v>131</v>
      </c>
      <c r="C15" s="150" t="s">
        <v>128</v>
      </c>
      <c r="D15" s="594">
        <f>'R5 - Output Incentives'!D102</f>
        <v>35.240511790305</v>
      </c>
      <c r="E15" s="595">
        <f>'R5 - Output Incentives'!E102</f>
        <v>38.803661972177039</v>
      </c>
      <c r="F15" s="596">
        <f>'R5 - Output Incentives'!F102</f>
        <v>28.486792372990937</v>
      </c>
      <c r="G15" s="596">
        <f>'R5 - Output Incentives'!G102</f>
        <v>28.90583323300503</v>
      </c>
      <c r="H15" s="596">
        <f>'R5 - Output Incentives'!H102</f>
        <v>30.570357269322244</v>
      </c>
      <c r="I15" s="596">
        <f>'R5 - Output Incentives'!I102</f>
        <v>31.274611909689664</v>
      </c>
      <c r="J15" s="596">
        <f>'R5 - Output Incentives'!J102</f>
        <v>31.941330533790758</v>
      </c>
      <c r="K15" s="597">
        <f>'R5 - Output Incentives'!K102</f>
        <v>32.204552745132418</v>
      </c>
      <c r="L15" s="58"/>
    </row>
    <row r="16" spans="1:12" s="2" customFormat="1">
      <c r="B16" s="767" t="s">
        <v>389</v>
      </c>
      <c r="C16" s="150" t="s">
        <v>128</v>
      </c>
      <c r="D16" s="592">
        <v>0</v>
      </c>
      <c r="E16" s="593">
        <v>0</v>
      </c>
      <c r="F16" s="593">
        <v>-1.5116345649481342</v>
      </c>
      <c r="G16" s="593">
        <v>-1.5721379388358552</v>
      </c>
      <c r="H16" s="593">
        <v>-5.8960633358016583</v>
      </c>
      <c r="I16" s="593"/>
      <c r="J16" s="593"/>
      <c r="K16" s="593"/>
      <c r="L16" s="58"/>
    </row>
    <row r="17" spans="2:12" s="2" customFormat="1">
      <c r="B17" s="767" t="s">
        <v>134</v>
      </c>
      <c r="C17" s="150" t="s">
        <v>128</v>
      </c>
      <c r="D17" s="594">
        <f>'R6 - Innovation'!D12</f>
        <v>0.34716923099999997</v>
      </c>
      <c r="E17" s="595">
        <f>'R6 - Innovation'!E12</f>
        <v>1.6326712410000002</v>
      </c>
      <c r="F17" s="596">
        <f>'R6 - Innovation'!F12</f>
        <v>1.8481499999999997</v>
      </c>
      <c r="G17" s="596">
        <f>'R6 - Innovation'!G12</f>
        <v>1.28952</v>
      </c>
      <c r="H17" s="596">
        <f>'R6 - Innovation'!H12</f>
        <v>1.8924228000000005</v>
      </c>
      <c r="I17" s="596">
        <f>'R6 - Innovation'!I12</f>
        <v>2.0983686091214548</v>
      </c>
      <c r="J17" s="596">
        <f>'R6 - Innovation'!J12</f>
        <v>1.9349194685550133</v>
      </c>
      <c r="K17" s="597">
        <f>'R6 - Innovation'!K12</f>
        <v>1.6894785212561743</v>
      </c>
      <c r="L17" s="58"/>
    </row>
    <row r="18" spans="2:12" s="2" customFormat="1">
      <c r="B18" s="767" t="s">
        <v>133</v>
      </c>
      <c r="C18" s="150" t="s">
        <v>128</v>
      </c>
      <c r="D18" s="594">
        <f>'R6 - Innovation'!D17</f>
        <v>1.6996695900000001</v>
      </c>
      <c r="E18" s="595">
        <f>'R6 - Innovation'!E17</f>
        <v>9.0166620000000003E-2</v>
      </c>
      <c r="F18" s="596">
        <f>'R6 - Innovation'!F17</f>
        <v>0.26083297</v>
      </c>
      <c r="G18" s="596">
        <f>'R6 - Innovation'!G17</f>
        <v>0.70743226000000003</v>
      </c>
      <c r="H18" s="596">
        <f>'R6 - Innovation'!H17</f>
        <v>9.7071350000000001E-2</v>
      </c>
      <c r="I18" s="596">
        <f>'R6 - Innovation'!I17</f>
        <v>0</v>
      </c>
      <c r="J18" s="596">
        <f>'R6 - Innovation'!J17</f>
        <v>0</v>
      </c>
      <c r="K18" s="597">
        <f>'R6 - Innovation'!K17</f>
        <v>0</v>
      </c>
      <c r="L18" s="58"/>
    </row>
    <row r="19" spans="2:12" s="2" customFormat="1">
      <c r="B19" s="937" t="s">
        <v>585</v>
      </c>
      <c r="C19" s="150" t="s">
        <v>128</v>
      </c>
      <c r="D19" s="592">
        <v>-12.581030634372675</v>
      </c>
      <c r="E19" s="593">
        <v>-9.5352639613767707</v>
      </c>
      <c r="F19" s="593">
        <v>0</v>
      </c>
      <c r="G19" s="593">
        <v>0</v>
      </c>
      <c r="H19" s="593">
        <v>0</v>
      </c>
      <c r="I19" s="593"/>
      <c r="J19" s="593"/>
      <c r="K19" s="593"/>
      <c r="L19" s="58"/>
    </row>
    <row r="20" spans="2:12" s="2" customFormat="1">
      <c r="B20" s="538" t="s">
        <v>243</v>
      </c>
      <c r="C20" s="150" t="s">
        <v>128</v>
      </c>
      <c r="D20" s="592">
        <v>0</v>
      </c>
      <c r="E20" s="593">
        <v>0</v>
      </c>
      <c r="F20" s="593">
        <v>0</v>
      </c>
      <c r="G20" s="593">
        <v>0</v>
      </c>
      <c r="H20" s="593">
        <v>0</v>
      </c>
      <c r="I20" s="593"/>
      <c r="J20" s="593"/>
      <c r="K20" s="593"/>
      <c r="L20" s="58"/>
    </row>
    <row r="21" spans="2:12" s="2" customFormat="1">
      <c r="B21" s="538" t="s">
        <v>243</v>
      </c>
      <c r="C21" s="150" t="s">
        <v>128</v>
      </c>
      <c r="D21" s="592">
        <v>0</v>
      </c>
      <c r="E21" s="593">
        <v>0</v>
      </c>
      <c r="F21" s="593">
        <v>0</v>
      </c>
      <c r="G21" s="593">
        <v>0</v>
      </c>
      <c r="H21" s="593">
        <v>0</v>
      </c>
      <c r="I21" s="593"/>
      <c r="J21" s="593"/>
      <c r="K21" s="593"/>
      <c r="L21" s="58"/>
    </row>
    <row r="22" spans="2:12" s="2" customFormat="1">
      <c r="B22" s="538" t="s">
        <v>243</v>
      </c>
      <c r="C22" s="150" t="s">
        <v>128</v>
      </c>
      <c r="D22" s="592">
        <v>0</v>
      </c>
      <c r="E22" s="593">
        <v>0</v>
      </c>
      <c r="F22" s="593">
        <v>0</v>
      </c>
      <c r="G22" s="593">
        <v>0</v>
      </c>
      <c r="H22" s="593">
        <v>0</v>
      </c>
      <c r="I22" s="593"/>
      <c r="J22" s="593"/>
      <c r="K22" s="593"/>
      <c r="L22" s="58"/>
    </row>
    <row r="23" spans="2:12" s="2" customFormat="1">
      <c r="B23" s="538" t="s">
        <v>243</v>
      </c>
      <c r="C23" s="150" t="s">
        <v>128</v>
      </c>
      <c r="D23" s="592">
        <v>0</v>
      </c>
      <c r="E23" s="593">
        <v>0</v>
      </c>
      <c r="F23" s="593">
        <v>0</v>
      </c>
      <c r="G23" s="593">
        <v>0</v>
      </c>
      <c r="H23" s="593">
        <v>0</v>
      </c>
      <c r="I23" s="593"/>
      <c r="J23" s="593"/>
      <c r="K23" s="593"/>
      <c r="L23" s="58"/>
    </row>
    <row r="24" spans="2:12" s="2" customFormat="1">
      <c r="B24" s="538" t="s">
        <v>243</v>
      </c>
      <c r="C24" s="150" t="s">
        <v>128</v>
      </c>
      <c r="D24" s="592">
        <v>0</v>
      </c>
      <c r="E24" s="593">
        <v>0</v>
      </c>
      <c r="F24" s="593">
        <v>0</v>
      </c>
      <c r="G24" s="593">
        <v>0</v>
      </c>
      <c r="H24" s="593">
        <v>0</v>
      </c>
      <c r="I24" s="593"/>
      <c r="J24" s="593"/>
      <c r="K24" s="593"/>
      <c r="L24" s="58"/>
    </row>
    <row r="25" spans="2:12" s="2" customFormat="1">
      <c r="B25" s="767" t="s">
        <v>135</v>
      </c>
      <c r="C25" s="150" t="s">
        <v>128</v>
      </c>
      <c r="D25" s="592">
        <v>0</v>
      </c>
      <c r="E25" s="593">
        <v>-29.504148614026359</v>
      </c>
      <c r="F25" s="593">
        <v>1.6073441118070579</v>
      </c>
      <c r="G25" s="593">
        <v>1.8665426239678475</v>
      </c>
      <c r="H25" s="593">
        <v>0.68928191103840242</v>
      </c>
      <c r="I25" s="593"/>
      <c r="J25" s="593"/>
      <c r="K25" s="593"/>
      <c r="L25" s="58"/>
    </row>
    <row r="26" spans="2:12" s="2" customFormat="1">
      <c r="B26" s="762" t="s">
        <v>148</v>
      </c>
      <c r="C26" s="150" t="s">
        <v>128</v>
      </c>
      <c r="D26" s="598">
        <f>SUM(D14:D24,-D25)</f>
        <v>442.14191997693234</v>
      </c>
      <c r="E26" s="599">
        <f t="shared" ref="E26:K26" si="2">SUM(E14:E24,-E25)</f>
        <v>494.09968448582669</v>
      </c>
      <c r="F26" s="599">
        <f t="shared" si="2"/>
        <v>473.51435187786348</v>
      </c>
      <c r="G26" s="599">
        <f t="shared" si="2"/>
        <v>495.8498079634474</v>
      </c>
      <c r="H26" s="599">
        <f t="shared" si="2"/>
        <v>512.86293007723725</v>
      </c>
      <c r="I26" s="599">
        <f t="shared" si="2"/>
        <v>33.372980518811119</v>
      </c>
      <c r="J26" s="599">
        <f t="shared" si="2"/>
        <v>33.87625000234577</v>
      </c>
      <c r="K26" s="600">
        <f t="shared" si="2"/>
        <v>33.894031266388595</v>
      </c>
      <c r="L26" s="58"/>
    </row>
    <row r="27" spans="2:12" s="2" customFormat="1">
      <c r="B27" s="223"/>
      <c r="C27" s="136"/>
      <c r="D27" s="55"/>
      <c r="E27" s="55"/>
      <c r="F27" s="55"/>
      <c r="G27" s="61"/>
      <c r="H27" s="61"/>
      <c r="I27" s="61"/>
      <c r="J27" s="61"/>
      <c r="K27" s="61"/>
      <c r="L27" s="58"/>
    </row>
    <row r="28" spans="2:12" s="2" customFormat="1">
      <c r="B28" s="223" t="s">
        <v>150</v>
      </c>
      <c r="C28" s="136"/>
      <c r="D28" s="598">
        <f>IF(ISBLANK(D33),0,D33-D26)</f>
        <v>1.5474228130676124</v>
      </c>
      <c r="E28" s="599">
        <f t="shared" ref="E28:K28" si="3">IF(ISBLANK(E33),0,E33-E26)</f>
        <v>1.7995565541733072</v>
      </c>
      <c r="F28" s="599">
        <f t="shared" si="3"/>
        <v>0.66239771213651011</v>
      </c>
      <c r="G28" s="599">
        <f t="shared" si="3"/>
        <v>2.2103411665526096</v>
      </c>
      <c r="H28" s="599">
        <f t="shared" si="3"/>
        <v>-9.9996862172372971</v>
      </c>
      <c r="I28" s="599">
        <f t="shared" si="3"/>
        <v>0</v>
      </c>
      <c r="J28" s="599">
        <f t="shared" si="3"/>
        <v>0</v>
      </c>
      <c r="K28" s="600">
        <f t="shared" si="3"/>
        <v>0</v>
      </c>
      <c r="L28" s="58"/>
    </row>
    <row r="29" spans="2:12" s="2" customFormat="1">
      <c r="B29" s="223"/>
      <c r="C29" s="136"/>
      <c r="D29" s="35"/>
      <c r="E29" s="35"/>
      <c r="F29" s="35"/>
      <c r="G29" s="35"/>
      <c r="H29" s="35"/>
      <c r="I29" s="35"/>
      <c r="J29" s="35"/>
      <c r="K29" s="35"/>
      <c r="L29" s="58"/>
    </row>
    <row r="30" spans="2:12" s="2" customFormat="1">
      <c r="B30" s="223"/>
      <c r="C30" s="136"/>
      <c r="D30" s="35"/>
      <c r="E30" s="35"/>
      <c r="F30" s="35"/>
      <c r="G30" s="35"/>
      <c r="H30" s="35"/>
      <c r="I30" s="35"/>
      <c r="J30" s="35"/>
      <c r="K30" s="35"/>
      <c r="L30" s="58"/>
    </row>
    <row r="31" spans="2:12" s="2" customFormat="1">
      <c r="B31" s="763" t="s">
        <v>193</v>
      </c>
      <c r="C31" s="148"/>
      <c r="D31" s="81"/>
      <c r="E31" s="81"/>
      <c r="F31" s="81"/>
      <c r="G31" s="81"/>
      <c r="H31" s="81"/>
      <c r="I31" s="81"/>
      <c r="J31" s="81"/>
      <c r="K31" s="81"/>
      <c r="L31" s="271"/>
    </row>
    <row r="32" spans="2:12" s="2" customFormat="1">
      <c r="B32" s="223"/>
      <c r="C32" s="136"/>
      <c r="D32" s="35"/>
      <c r="E32" s="35"/>
      <c r="F32" s="35"/>
      <c r="G32" s="35"/>
      <c r="H32" s="35"/>
      <c r="I32" s="35"/>
      <c r="J32" s="35"/>
      <c r="K32" s="35"/>
      <c r="L32" s="58"/>
    </row>
    <row r="33" spans="2:12" s="2" customFormat="1">
      <c r="B33" s="764" t="s">
        <v>149</v>
      </c>
      <c r="C33" s="136"/>
      <c r="D33" s="634">
        <v>443.68934278999996</v>
      </c>
      <c r="E33" s="635">
        <v>495.89924103999999</v>
      </c>
      <c r="F33" s="635">
        <v>474.17674958999999</v>
      </c>
      <c r="G33" s="635">
        <v>498.06014913000001</v>
      </c>
      <c r="H33" s="635">
        <v>502.86324385999995</v>
      </c>
      <c r="I33" s="635"/>
      <c r="J33" s="635"/>
      <c r="K33" s="636"/>
      <c r="L33" s="58"/>
    </row>
    <row r="34" spans="2:12" s="2" customFormat="1">
      <c r="B34" s="127"/>
      <c r="C34" s="134"/>
      <c r="L34" s="58"/>
    </row>
    <row r="35" spans="2:12" s="2" customFormat="1">
      <c r="B35" s="389" t="s">
        <v>136</v>
      </c>
      <c r="C35" s="134"/>
      <c r="L35" s="58"/>
    </row>
    <row r="36" spans="2:12" s="2" customFormat="1">
      <c r="B36" s="889" t="s">
        <v>137</v>
      </c>
      <c r="C36" s="150" t="s">
        <v>128</v>
      </c>
      <c r="D36" s="590">
        <v>0</v>
      </c>
      <c r="E36" s="591">
        <v>0</v>
      </c>
      <c r="F36" s="591">
        <v>0</v>
      </c>
      <c r="G36" s="591">
        <v>0</v>
      </c>
      <c r="H36" s="591">
        <v>0</v>
      </c>
      <c r="I36" s="591"/>
      <c r="J36" s="591"/>
      <c r="K36" s="601"/>
      <c r="L36" s="58"/>
    </row>
    <row r="37" spans="2:12" s="2" customFormat="1">
      <c r="B37" s="889" t="s">
        <v>138</v>
      </c>
      <c r="C37" s="150" t="s">
        <v>128</v>
      </c>
      <c r="D37" s="592">
        <v>2.3860999999999999</v>
      </c>
      <c r="E37" s="593">
        <v>2.1777000000000002</v>
      </c>
      <c r="F37" s="593">
        <v>2.0762</v>
      </c>
      <c r="G37" s="593">
        <v>1.8131999999999999</v>
      </c>
      <c r="H37" s="593">
        <v>1.635026705</v>
      </c>
      <c r="I37" s="593"/>
      <c r="J37" s="593"/>
      <c r="K37" s="602"/>
      <c r="L37" s="58"/>
    </row>
    <row r="38" spans="2:12" s="2" customFormat="1">
      <c r="B38" s="889" t="s">
        <v>139</v>
      </c>
      <c r="C38" s="150" t="s">
        <v>128</v>
      </c>
      <c r="D38" s="592">
        <v>11.888500000000001</v>
      </c>
      <c r="E38" s="593">
        <v>61.401066263930005</v>
      </c>
      <c r="F38" s="593">
        <v>60.673000000000002</v>
      </c>
      <c r="G38" s="593">
        <v>61.460399999999993</v>
      </c>
      <c r="H38" s="593">
        <v>49.067737469999997</v>
      </c>
      <c r="I38" s="593"/>
      <c r="J38" s="593"/>
      <c r="K38" s="602"/>
      <c r="L38" s="58"/>
    </row>
    <row r="39" spans="2:12" s="2" customFormat="1">
      <c r="B39" s="889" t="s">
        <v>140</v>
      </c>
      <c r="C39" s="150" t="s">
        <v>128</v>
      </c>
      <c r="D39" s="592">
        <v>0</v>
      </c>
      <c r="E39" s="593">
        <v>0</v>
      </c>
      <c r="F39" s="593">
        <v>0</v>
      </c>
      <c r="G39" s="593">
        <v>0</v>
      </c>
      <c r="H39" s="593">
        <v>0</v>
      </c>
      <c r="I39" s="593"/>
      <c r="J39" s="593"/>
      <c r="K39" s="602"/>
      <c r="L39" s="58"/>
    </row>
    <row r="40" spans="2:12" s="2" customFormat="1">
      <c r="B40" s="889" t="s">
        <v>141</v>
      </c>
      <c r="C40" s="150" t="s">
        <v>128</v>
      </c>
      <c r="D40" s="592">
        <v>0</v>
      </c>
      <c r="E40" s="593">
        <v>0</v>
      </c>
      <c r="F40" s="593">
        <v>0</v>
      </c>
      <c r="G40" s="593">
        <v>0</v>
      </c>
      <c r="H40" s="593">
        <v>0</v>
      </c>
      <c r="I40" s="593"/>
      <c r="J40" s="593"/>
      <c r="K40" s="602"/>
      <c r="L40" s="58"/>
    </row>
    <row r="41" spans="2:12" s="2" customFormat="1">
      <c r="B41" s="889" t="s">
        <v>142</v>
      </c>
      <c r="C41" s="150" t="s">
        <v>128</v>
      </c>
      <c r="D41" s="592">
        <v>2.9016000000000002</v>
      </c>
      <c r="E41" s="593">
        <v>2.4188999999999998</v>
      </c>
      <c r="F41" s="593">
        <v>1.7302</v>
      </c>
      <c r="G41" s="593">
        <v>2.8908999999999998</v>
      </c>
      <c r="H41" s="593">
        <v>2.4846943700000002</v>
      </c>
      <c r="I41" s="593"/>
      <c r="J41" s="593"/>
      <c r="K41" s="602"/>
      <c r="L41" s="58"/>
    </row>
    <row r="42" spans="2:12" s="2" customFormat="1">
      <c r="B42" s="889" t="s">
        <v>143</v>
      </c>
      <c r="C42" s="150" t="s">
        <v>128</v>
      </c>
      <c r="D42" s="592">
        <v>0</v>
      </c>
      <c r="E42" s="593">
        <v>0</v>
      </c>
      <c r="F42" s="593">
        <v>0</v>
      </c>
      <c r="G42" s="593">
        <v>0</v>
      </c>
      <c r="H42" s="593">
        <v>0</v>
      </c>
      <c r="I42" s="593"/>
      <c r="J42" s="593"/>
      <c r="K42" s="602"/>
      <c r="L42" s="58"/>
    </row>
    <row r="43" spans="2:12" s="2" customFormat="1">
      <c r="B43" s="890" t="s">
        <v>144</v>
      </c>
      <c r="C43" s="150" t="s">
        <v>128</v>
      </c>
      <c r="D43" s="603">
        <v>0</v>
      </c>
      <c r="E43" s="604">
        <v>0</v>
      </c>
      <c r="F43" s="604">
        <v>0</v>
      </c>
      <c r="G43" s="604">
        <v>0</v>
      </c>
      <c r="H43" s="604">
        <v>0</v>
      </c>
      <c r="I43" s="604"/>
      <c r="J43" s="604"/>
      <c r="K43" s="605"/>
      <c r="L43" s="58"/>
    </row>
    <row r="44" spans="2:12" s="2" customFormat="1">
      <c r="B44" s="888" t="s">
        <v>529</v>
      </c>
      <c r="C44" s="150" t="s">
        <v>128</v>
      </c>
      <c r="D44" s="603">
        <v>0</v>
      </c>
      <c r="E44" s="604">
        <v>0</v>
      </c>
      <c r="F44" s="604">
        <v>0</v>
      </c>
      <c r="G44" s="604">
        <v>0</v>
      </c>
      <c r="H44" s="604">
        <v>0</v>
      </c>
      <c r="I44" s="604"/>
      <c r="J44" s="604"/>
      <c r="K44" s="605"/>
      <c r="L44" s="58"/>
    </row>
    <row r="45" spans="2:12" s="2" customFormat="1">
      <c r="B45" s="389" t="s">
        <v>176</v>
      </c>
      <c r="C45" s="150" t="s">
        <v>128</v>
      </c>
      <c r="D45" s="606">
        <f>SUM(D36:D44)</f>
        <v>17.176200000000001</v>
      </c>
      <c r="E45" s="607">
        <f t="shared" ref="E45:K45" si="4">SUM(E36:E44)</f>
        <v>65.99766626393</v>
      </c>
      <c r="F45" s="607">
        <f t="shared" si="4"/>
        <v>64.479399999999998</v>
      </c>
      <c r="G45" s="607">
        <f t="shared" si="4"/>
        <v>66.16449999999999</v>
      </c>
      <c r="H45" s="607">
        <f t="shared" si="4"/>
        <v>53.187458544999998</v>
      </c>
      <c r="I45" s="607">
        <f t="shared" si="4"/>
        <v>0</v>
      </c>
      <c r="J45" s="607">
        <f t="shared" si="4"/>
        <v>0</v>
      </c>
      <c r="K45" s="608">
        <f t="shared" si="4"/>
        <v>0</v>
      </c>
      <c r="L45" s="58"/>
    </row>
    <row r="46" spans="2:12" s="2" customFormat="1">
      <c r="B46" s="127"/>
      <c r="C46" s="134"/>
      <c r="L46" s="58"/>
    </row>
    <row r="47" spans="2:12" s="2" customFormat="1">
      <c r="B47" s="389" t="s">
        <v>145</v>
      </c>
      <c r="C47" s="134"/>
      <c r="L47" s="54"/>
    </row>
    <row r="48" spans="2:12" s="2" customFormat="1">
      <c r="B48" s="937" t="s">
        <v>579</v>
      </c>
      <c r="C48" s="150" t="s">
        <v>128</v>
      </c>
      <c r="D48" s="609">
        <v>2.9306711860000001</v>
      </c>
      <c r="E48" s="610">
        <v>4.1809971749999999</v>
      </c>
      <c r="F48" s="610">
        <v>3.2499000300000009</v>
      </c>
      <c r="G48" s="610">
        <v>2.7110588600000001</v>
      </c>
      <c r="H48" s="610">
        <v>4.9781236799900004</v>
      </c>
      <c r="I48" s="610"/>
      <c r="J48" s="610"/>
      <c r="K48" s="611"/>
      <c r="L48" s="58"/>
    </row>
    <row r="49" spans="2:12" s="2" customFormat="1">
      <c r="B49" s="937" t="s">
        <v>580</v>
      </c>
      <c r="C49" s="150" t="s">
        <v>128</v>
      </c>
      <c r="D49" s="612">
        <v>-0.37867700000000004</v>
      </c>
      <c r="E49" s="613">
        <v>-0.27920467999999998</v>
      </c>
      <c r="F49" s="613">
        <v>-0.22100004000000001</v>
      </c>
      <c r="G49" s="613">
        <v>-0.23152535999999999</v>
      </c>
      <c r="H49" s="613">
        <v>-0.25081064999999997</v>
      </c>
      <c r="I49" s="613"/>
      <c r="J49" s="613"/>
      <c r="K49" s="614"/>
      <c r="L49" s="58"/>
    </row>
    <row r="50" spans="2:12" s="2" customFormat="1">
      <c r="B50" s="937" t="s">
        <v>581</v>
      </c>
      <c r="C50" s="150" t="s">
        <v>128</v>
      </c>
      <c r="D50" s="612">
        <v>-2.0946694899999998</v>
      </c>
      <c r="E50" s="613">
        <v>-1.6631666800000002</v>
      </c>
      <c r="F50" s="613">
        <v>-2.1088332000000003</v>
      </c>
      <c r="G50" s="613">
        <v>-1.5269400200000001</v>
      </c>
      <c r="H50" s="613">
        <v>-0.67197089999999993</v>
      </c>
      <c r="I50" s="613"/>
      <c r="J50" s="613"/>
      <c r="K50" s="614"/>
      <c r="L50" s="58"/>
    </row>
    <row r="51" spans="2:12" s="2" customFormat="1">
      <c r="B51" s="937" t="s">
        <v>582</v>
      </c>
      <c r="C51" s="150" t="s">
        <v>128</v>
      </c>
      <c r="D51" s="612">
        <v>35.729999999999997</v>
      </c>
      <c r="E51" s="613">
        <v>0</v>
      </c>
      <c r="F51" s="613">
        <v>0</v>
      </c>
      <c r="G51" s="613">
        <v>0</v>
      </c>
      <c r="H51" s="613">
        <v>0</v>
      </c>
      <c r="I51" s="613"/>
      <c r="J51" s="613"/>
      <c r="K51" s="614"/>
      <c r="L51" s="58"/>
    </row>
    <row r="52" spans="2:12" s="2" customFormat="1">
      <c r="B52" s="937" t="s">
        <v>583</v>
      </c>
      <c r="C52" s="150" t="s">
        <v>128</v>
      </c>
      <c r="D52" s="612">
        <v>-37.630499999999998</v>
      </c>
      <c r="E52" s="613">
        <v>-48.507166263930003</v>
      </c>
      <c r="F52" s="613">
        <v>-42.825899999999997</v>
      </c>
      <c r="G52" s="613">
        <v>-40.477040260231199</v>
      </c>
      <c r="H52" s="613">
        <v>-34.717399999999998</v>
      </c>
      <c r="I52" s="613"/>
      <c r="J52" s="613"/>
      <c r="K52" s="614"/>
      <c r="L52" s="58"/>
    </row>
    <row r="53" spans="2:12" s="2" customFormat="1">
      <c r="B53" s="937" t="s">
        <v>584</v>
      </c>
      <c r="C53" s="150" t="s">
        <v>128</v>
      </c>
      <c r="D53" s="612">
        <v>1.9005000000000001</v>
      </c>
      <c r="E53" s="613">
        <v>0</v>
      </c>
      <c r="F53" s="613">
        <v>0</v>
      </c>
      <c r="G53" s="613">
        <v>0</v>
      </c>
      <c r="H53" s="613">
        <v>0</v>
      </c>
      <c r="I53" s="613"/>
      <c r="J53" s="613"/>
      <c r="K53" s="614"/>
      <c r="L53" s="58"/>
    </row>
    <row r="54" spans="2:12" s="2" customFormat="1">
      <c r="B54" s="768" t="s">
        <v>154</v>
      </c>
      <c r="C54" s="150" t="s">
        <v>128</v>
      </c>
      <c r="D54" s="612">
        <v>0</v>
      </c>
      <c r="E54" s="613">
        <v>0</v>
      </c>
      <c r="F54" s="613">
        <v>0</v>
      </c>
      <c r="G54" s="613">
        <v>-0.1</v>
      </c>
      <c r="H54" s="613">
        <v>0</v>
      </c>
      <c r="I54" s="613"/>
      <c r="J54" s="613"/>
      <c r="K54" s="614"/>
      <c r="L54" s="58"/>
    </row>
    <row r="55" spans="2:12" s="2" customFormat="1">
      <c r="B55" s="538" t="s">
        <v>243</v>
      </c>
      <c r="C55" s="150" t="s">
        <v>128</v>
      </c>
      <c r="D55" s="612"/>
      <c r="E55" s="613"/>
      <c r="F55" s="613"/>
      <c r="G55" s="613"/>
      <c r="H55" s="613"/>
      <c r="I55" s="613"/>
      <c r="J55" s="613"/>
      <c r="K55" s="614"/>
      <c r="L55" s="58"/>
    </row>
    <row r="56" spans="2:12" s="2" customFormat="1">
      <c r="B56" s="538" t="s">
        <v>243</v>
      </c>
      <c r="C56" s="150" t="s">
        <v>128</v>
      </c>
      <c r="D56" s="612"/>
      <c r="E56" s="613"/>
      <c r="F56" s="613"/>
      <c r="G56" s="613"/>
      <c r="H56" s="613"/>
      <c r="I56" s="613"/>
      <c r="J56" s="613"/>
      <c r="K56" s="614"/>
      <c r="L56" s="58"/>
    </row>
    <row r="57" spans="2:12" s="2" customFormat="1">
      <c r="B57" s="538" t="s">
        <v>243</v>
      </c>
      <c r="C57" s="150" t="s">
        <v>128</v>
      </c>
      <c r="D57" s="612"/>
      <c r="E57" s="613"/>
      <c r="F57" s="613"/>
      <c r="G57" s="613"/>
      <c r="H57" s="613"/>
      <c r="I57" s="613"/>
      <c r="J57" s="613"/>
      <c r="K57" s="614"/>
      <c r="L57" s="58"/>
    </row>
    <row r="58" spans="2:12" s="2" customFormat="1">
      <c r="B58" s="538" t="s">
        <v>243</v>
      </c>
      <c r="C58" s="150" t="s">
        <v>128</v>
      </c>
      <c r="D58" s="612"/>
      <c r="E58" s="613"/>
      <c r="F58" s="613"/>
      <c r="G58" s="613"/>
      <c r="H58" s="613"/>
      <c r="I58" s="613"/>
      <c r="J58" s="613"/>
      <c r="K58" s="614"/>
      <c r="L58" s="58"/>
    </row>
    <row r="59" spans="2:12" s="2" customFormat="1">
      <c r="B59" s="538" t="s">
        <v>243</v>
      </c>
      <c r="C59" s="150" t="s">
        <v>128</v>
      </c>
      <c r="D59" s="612"/>
      <c r="E59" s="613"/>
      <c r="F59" s="613"/>
      <c r="G59" s="613"/>
      <c r="H59" s="613"/>
      <c r="I59" s="613"/>
      <c r="J59" s="613"/>
      <c r="K59" s="614"/>
      <c r="L59" s="58"/>
    </row>
    <row r="60" spans="2:12" s="2" customFormat="1">
      <c r="B60" s="538" t="s">
        <v>243</v>
      </c>
      <c r="C60" s="150" t="s">
        <v>128</v>
      </c>
      <c r="D60" s="612"/>
      <c r="E60" s="613"/>
      <c r="F60" s="613"/>
      <c r="G60" s="613"/>
      <c r="H60" s="613"/>
      <c r="I60" s="613"/>
      <c r="J60" s="613"/>
      <c r="K60" s="614"/>
      <c r="L60" s="58"/>
    </row>
    <row r="61" spans="2:12" s="2" customFormat="1">
      <c r="B61" s="538" t="s">
        <v>243</v>
      </c>
      <c r="C61" s="150" t="s">
        <v>128</v>
      </c>
      <c r="D61" s="612"/>
      <c r="E61" s="613"/>
      <c r="F61" s="613"/>
      <c r="G61" s="613"/>
      <c r="H61" s="613"/>
      <c r="I61" s="613"/>
      <c r="J61" s="613"/>
      <c r="K61" s="614"/>
      <c r="L61" s="58"/>
    </row>
    <row r="62" spans="2:12" s="2" customFormat="1">
      <c r="B62" s="538" t="s">
        <v>243</v>
      </c>
      <c r="C62" s="150" t="s">
        <v>128</v>
      </c>
      <c r="D62" s="612"/>
      <c r="E62" s="613"/>
      <c r="F62" s="613"/>
      <c r="G62" s="613"/>
      <c r="H62" s="613"/>
      <c r="I62" s="613"/>
      <c r="J62" s="613"/>
      <c r="K62" s="614"/>
      <c r="L62" s="58"/>
    </row>
    <row r="63" spans="2:12" s="2" customFormat="1">
      <c r="B63" s="944" t="s">
        <v>243</v>
      </c>
      <c r="C63" s="150" t="s">
        <v>128</v>
      </c>
      <c r="D63" s="615"/>
      <c r="E63" s="616"/>
      <c r="F63" s="617"/>
      <c r="G63" s="616"/>
      <c r="H63" s="616"/>
      <c r="I63" s="616"/>
      <c r="J63" s="616"/>
      <c r="K63" s="618"/>
      <c r="L63" s="58"/>
    </row>
    <row r="64" spans="2:12" s="2" customFormat="1">
      <c r="B64" s="764" t="s">
        <v>177</v>
      </c>
      <c r="C64" s="150" t="s">
        <v>128</v>
      </c>
      <c r="D64" s="598">
        <f t="shared" ref="D64:K64" si="5">SUM(D48:D63)</f>
        <v>0.4573246959999997</v>
      </c>
      <c r="E64" s="599">
        <f t="shared" si="5"/>
        <v>-46.268540448930004</v>
      </c>
      <c r="F64" s="599">
        <f t="shared" si="5"/>
        <v>-41.905833209999997</v>
      </c>
      <c r="G64" s="599">
        <f t="shared" si="5"/>
        <v>-39.624446780231203</v>
      </c>
      <c r="H64" s="599">
        <f t="shared" si="5"/>
        <v>-30.662057870009995</v>
      </c>
      <c r="I64" s="599">
        <f t="shared" si="5"/>
        <v>0</v>
      </c>
      <c r="J64" s="599">
        <f t="shared" si="5"/>
        <v>0</v>
      </c>
      <c r="K64" s="600">
        <f t="shared" si="5"/>
        <v>0</v>
      </c>
      <c r="L64" s="58"/>
    </row>
    <row r="65" spans="1:12" s="2" customFormat="1">
      <c r="B65" s="223"/>
      <c r="C65" s="136"/>
      <c r="D65" s="56"/>
      <c r="E65" s="56"/>
      <c r="F65" s="56"/>
      <c r="G65" s="56"/>
      <c r="H65" s="56"/>
      <c r="I65" s="56"/>
      <c r="J65" s="56"/>
      <c r="K65" s="56"/>
      <c r="L65" s="58"/>
    </row>
    <row r="66" spans="1:12" s="2" customFormat="1">
      <c r="B66" s="764" t="s">
        <v>146</v>
      </c>
      <c r="C66" s="150" t="s">
        <v>128</v>
      </c>
      <c r="D66" s="619">
        <f t="shared" ref="D66:K66" si="6">D33+D45+D64</f>
        <v>461.32286748599995</v>
      </c>
      <c r="E66" s="620">
        <f t="shared" si="6"/>
        <v>515.62836685499997</v>
      </c>
      <c r="F66" s="620">
        <f t="shared" si="6"/>
        <v>496.75031638000007</v>
      </c>
      <c r="G66" s="620">
        <f t="shared" si="6"/>
        <v>524.60020234976878</v>
      </c>
      <c r="H66" s="620">
        <f t="shared" si="6"/>
        <v>525.38864453498991</v>
      </c>
      <c r="I66" s="620">
        <f t="shared" si="6"/>
        <v>0</v>
      </c>
      <c r="J66" s="620">
        <f t="shared" si="6"/>
        <v>0</v>
      </c>
      <c r="K66" s="621">
        <f t="shared" si="6"/>
        <v>0</v>
      </c>
      <c r="L66" s="58"/>
    </row>
    <row r="67" spans="1:12" s="2" customFormat="1">
      <c r="B67" s="764" t="s">
        <v>194</v>
      </c>
      <c r="C67" s="150" t="s">
        <v>128</v>
      </c>
      <c r="D67" s="622">
        <v>461.3</v>
      </c>
      <c r="E67" s="623">
        <v>515.6</v>
      </c>
      <c r="F67" s="623">
        <v>496.7</v>
      </c>
      <c r="G67" s="623">
        <v>524.6</v>
      </c>
      <c r="H67" s="623">
        <v>525.4</v>
      </c>
      <c r="I67" s="623"/>
      <c r="J67" s="623"/>
      <c r="K67" s="624"/>
      <c r="L67" s="58"/>
    </row>
    <row r="68" spans="1:12" s="2" customFormat="1">
      <c r="B68" s="223" t="s">
        <v>122</v>
      </c>
      <c r="C68" s="136"/>
      <c r="D68" s="113" t="str">
        <f>IF(ABS(D66-D67)&lt;'RFPR cover'!$F$14,"OK","Error")</f>
        <v>OK</v>
      </c>
      <c r="E68" s="113" t="str">
        <f>IF(ABS(E66-E67)&lt;'RFPR cover'!$F$14,"OK","Error")</f>
        <v>OK</v>
      </c>
      <c r="F68" s="113" t="str">
        <f>IF(ABS(F66-F67)&lt;'RFPR cover'!$F$14,"OK","Error")</f>
        <v>OK</v>
      </c>
      <c r="G68" s="113" t="str">
        <f>IF(ABS(G66-G67)&lt;'RFPR cover'!$F$14,"OK","Error")</f>
        <v>OK</v>
      </c>
      <c r="H68" s="113" t="str">
        <f>IF(ABS(H66-H67)&lt;'RFPR cover'!$F$14,"OK","Error")</f>
        <v>OK</v>
      </c>
      <c r="I68" s="113" t="str">
        <f>IF(ABS(I66-I67)&lt;'RFPR cover'!$F$14,"OK","Error")</f>
        <v>OK</v>
      </c>
      <c r="J68" s="113" t="str">
        <f>IF(ABS(J66-J67)&lt;'RFPR cover'!$F$14,"OK","Error")</f>
        <v>OK</v>
      </c>
      <c r="K68" s="113" t="str">
        <f>IF(ABS(K66-K67)&lt;'RFPR cover'!$F$14,"OK","Error")</f>
        <v>OK</v>
      </c>
      <c r="L68" s="58"/>
    </row>
    <row r="69" spans="1:12" s="2" customFormat="1">
      <c r="B69" s="127"/>
      <c r="C69" s="136"/>
      <c r="D69" s="48"/>
      <c r="E69" s="48"/>
      <c r="F69" s="48"/>
      <c r="G69" s="48"/>
      <c r="H69" s="48"/>
      <c r="I69" s="48"/>
      <c r="J69" s="48"/>
      <c r="K69" s="48"/>
      <c r="L69" s="58"/>
    </row>
    <row r="70" spans="1:12" s="2" customFormat="1">
      <c r="B70" s="127"/>
      <c r="C70" s="134"/>
      <c r="L70" s="54"/>
    </row>
    <row r="71" spans="1:12" s="2" customFormat="1">
      <c r="A71" s="81"/>
      <c r="B71" s="769"/>
      <c r="C71" s="148"/>
      <c r="D71" s="81"/>
      <c r="E71" s="81"/>
      <c r="F71" s="81"/>
      <c r="G71" s="81"/>
      <c r="H71" s="81"/>
      <c r="I71" s="81"/>
      <c r="J71" s="81"/>
      <c r="K71" s="81"/>
      <c r="L71" s="270"/>
    </row>
  </sheetData>
  <conditionalFormatting sqref="D6:K6">
    <cfRule type="expression" dxfId="69" priority="22">
      <formula>AND(D$5="Actuals",E$5="Forecast")</formula>
    </cfRule>
  </conditionalFormatting>
  <conditionalFormatting sqref="D5:K5">
    <cfRule type="expression" dxfId="68" priority="15">
      <formula>AND(D$5="Actuals",E$5="Forecast")</formula>
    </cfRule>
  </conditionalFormatting>
  <conditionalFormatting sqref="I33:K33 D45:K45 D64:K64 D28:H28 D66:K66 I36:K44 H48:K63 D68:K68 I67:K67">
    <cfRule type="expression" dxfId="67" priority="14">
      <formula>D$5="Forecast"</formula>
    </cfRule>
  </conditionalFormatting>
  <conditionalFormatting sqref="I10:K26 I28:K28">
    <cfRule type="expression" dxfId="66" priority="13">
      <formula>I$5="Forecast"</formula>
    </cfRule>
  </conditionalFormatting>
  <conditionalFormatting sqref="H14:H15 H17:H18 H26">
    <cfRule type="expression" dxfId="65" priority="12">
      <formula>H$5="Forecast"</formula>
    </cfRule>
  </conditionalFormatting>
  <conditionalFormatting sqref="G14:G15 G17:G18 G26">
    <cfRule type="expression" dxfId="64" priority="11">
      <formula>G$5="Forecast"</formula>
    </cfRule>
  </conditionalFormatting>
  <conditionalFormatting sqref="H10:H13">
    <cfRule type="expression" dxfId="63" priority="10">
      <formula>H$5="Forecast"</formula>
    </cfRule>
  </conditionalFormatting>
  <conditionalFormatting sqref="G10:G13">
    <cfRule type="expression" dxfId="62" priority="9">
      <formula>G$5="Forecast"</formula>
    </cfRule>
  </conditionalFormatting>
  <conditionalFormatting sqref="H16">
    <cfRule type="expression" dxfId="61" priority="8">
      <formula>H$5="Forecast"</formula>
    </cfRule>
  </conditionalFormatting>
  <conditionalFormatting sqref="G16">
    <cfRule type="expression" dxfId="60" priority="7">
      <formula>G$5="Forecast"</formula>
    </cfRule>
  </conditionalFormatting>
  <conditionalFormatting sqref="H19:H25">
    <cfRule type="expression" dxfId="59" priority="6">
      <formula>H$5="Forecast"</formula>
    </cfRule>
  </conditionalFormatting>
  <conditionalFormatting sqref="G19:G25">
    <cfRule type="expression" dxfId="58" priority="5">
      <formula>G$5="Forecast"</formula>
    </cfRule>
  </conditionalFormatting>
  <conditionalFormatting sqref="D33:H33">
    <cfRule type="expression" dxfId="57" priority="4">
      <formula>D$5="Forecast"</formula>
    </cfRule>
  </conditionalFormatting>
  <conditionalFormatting sqref="D36:H44">
    <cfRule type="expression" dxfId="56" priority="3">
      <formula>D$5="Forecast"</formula>
    </cfRule>
  </conditionalFormatting>
  <conditionalFormatting sqref="D48:G63">
    <cfRule type="expression" dxfId="55" priority="2">
      <formula>D$5="Forecast"</formula>
    </cfRule>
  </conditionalFormatting>
  <conditionalFormatting sqref="D67:H67">
    <cfRule type="expression" dxfId="54" priority="1">
      <formula>D$5="Forecast"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L86"/>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74.453125" customWidth="1"/>
    <col min="3" max="3" width="13.36328125" style="134" customWidth="1"/>
    <col min="4" max="11" width="11.08984375" customWidth="1"/>
    <col min="12" max="12" width="5" customWidth="1"/>
  </cols>
  <sheetData>
    <row r="1" spans="1:12" s="31" customFormat="1" ht="21">
      <c r="A1" s="919" t="s">
        <v>310</v>
      </c>
      <c r="B1" s="920"/>
      <c r="C1" s="146"/>
      <c r="D1" s="119"/>
      <c r="E1" s="119"/>
      <c r="F1" s="119"/>
      <c r="G1" s="119"/>
      <c r="H1" s="119"/>
      <c r="I1" s="119"/>
      <c r="J1" s="119"/>
      <c r="K1" s="119"/>
      <c r="L1" s="120"/>
    </row>
    <row r="2" spans="1:12" s="31" customFormat="1" ht="21">
      <c r="A2" s="904" t="str">
        <f>'RFPR cover'!C5</f>
        <v>WPD-WMID</v>
      </c>
      <c r="B2" s="896"/>
      <c r="C2" s="132"/>
      <c r="D2" s="29"/>
      <c r="E2" s="29"/>
      <c r="F2" s="29"/>
      <c r="G2" s="29"/>
      <c r="H2" s="29"/>
      <c r="I2" s="27"/>
      <c r="J2" s="27"/>
      <c r="K2" s="27"/>
      <c r="L2" s="121"/>
    </row>
    <row r="3" spans="1:12" s="31" customFormat="1" ht="21">
      <c r="A3" s="921">
        <f>'RFPR cover'!C7</f>
        <v>2020</v>
      </c>
      <c r="B3" s="922"/>
      <c r="C3" s="147"/>
      <c r="D3" s="122"/>
      <c r="E3" s="122"/>
      <c r="F3" s="122"/>
      <c r="G3" s="122"/>
      <c r="H3" s="122"/>
      <c r="I3" s="28"/>
      <c r="J3" s="28"/>
      <c r="K3" s="28"/>
      <c r="L3" s="123"/>
    </row>
    <row r="4" spans="1:12" s="2" customFormat="1" ht="12.75" customHeight="1">
      <c r="C4" s="134"/>
    </row>
    <row r="5" spans="1:12" s="2" customFormat="1">
      <c r="B5" s="3"/>
      <c r="C5" s="134"/>
      <c r="D5" s="385" t="str">
        <f>IF(D6&lt;='RFPR cover'!$C$7,"Actuals","N/A")</f>
        <v>Actuals</v>
      </c>
      <c r="E5" s="386" t="str">
        <f>IF(E6&lt;='RFPR cover'!$C$7,"Actuals","N/A")</f>
        <v>Actuals</v>
      </c>
      <c r="F5" s="386" t="str">
        <f>IF(F6&lt;='RFPR cover'!$C$7,"Actuals","N/A")</f>
        <v>Actuals</v>
      </c>
      <c r="G5" s="386" t="str">
        <f>IF(G6&lt;='RFPR cover'!$C$7,"Actuals","N/A")</f>
        <v>Actuals</v>
      </c>
      <c r="H5" s="386" t="str">
        <f>IF(H6&lt;='RFPR cover'!$C$7,"Actuals","N/A")</f>
        <v>Actuals</v>
      </c>
      <c r="I5" s="386" t="str">
        <f>IF(I6&lt;='RFPR cover'!$C$7,"Actuals","N/A")</f>
        <v>N/A</v>
      </c>
      <c r="J5" s="386" t="str">
        <f>IF(J6&lt;='RFPR cover'!$C$7,"Actuals","N/A")</f>
        <v>N/A</v>
      </c>
      <c r="K5" s="387" t="str">
        <f>IF(K6&lt;='RFPR cover'!$C$7,"Actuals","N/A")</f>
        <v>N/A</v>
      </c>
    </row>
    <row r="6" spans="1:12" s="2" customFormat="1">
      <c r="C6" s="134"/>
      <c r="D6" s="115">
        <f>'RFPR cover'!$C$13</f>
        <v>2016</v>
      </c>
      <c r="E6" s="116">
        <f>D6+1</f>
        <v>2017</v>
      </c>
      <c r="F6" s="116">
        <f t="shared" ref="F6:K6" si="0">E6+1</f>
        <v>2018</v>
      </c>
      <c r="G6" s="116">
        <f t="shared" si="0"/>
        <v>2019</v>
      </c>
      <c r="H6" s="116">
        <f t="shared" si="0"/>
        <v>2020</v>
      </c>
      <c r="I6" s="116">
        <f t="shared" si="0"/>
        <v>2021</v>
      </c>
      <c r="J6" s="116">
        <f t="shared" si="0"/>
        <v>2022</v>
      </c>
      <c r="K6" s="193">
        <f t="shared" si="0"/>
        <v>2023</v>
      </c>
    </row>
    <row r="7" spans="1:12" s="2" customFormat="1">
      <c r="C7" s="134"/>
    </row>
    <row r="8" spans="1:12" s="2" customFormat="1">
      <c r="B8" s="51" t="s">
        <v>316</v>
      </c>
      <c r="C8" s="135"/>
      <c r="D8" s="51"/>
      <c r="E8" s="51"/>
      <c r="F8" s="51"/>
      <c r="G8" s="51"/>
      <c r="H8" s="51"/>
      <c r="I8" s="51"/>
      <c r="J8" s="51"/>
      <c r="K8" s="51"/>
      <c r="L8" s="35"/>
    </row>
    <row r="9" spans="1:12" s="2" customFormat="1">
      <c r="B9" s="127" t="s">
        <v>160</v>
      </c>
      <c r="C9" s="150" t="s">
        <v>128</v>
      </c>
      <c r="D9" s="590">
        <v>311.10278462999969</v>
      </c>
      <c r="E9" s="591">
        <v>298.32222223000002</v>
      </c>
      <c r="F9" s="591">
        <v>287.04688888999999</v>
      </c>
      <c r="G9" s="591">
        <v>243.86322720999999</v>
      </c>
      <c r="H9" s="591">
        <v>253.1</v>
      </c>
      <c r="I9" s="591"/>
      <c r="J9" s="591"/>
      <c r="K9" s="601"/>
    </row>
    <row r="10" spans="1:12" s="2" customFormat="1">
      <c r="B10" s="127" t="s">
        <v>161</v>
      </c>
      <c r="C10" s="150" t="s">
        <v>128</v>
      </c>
      <c r="D10" s="592">
        <v>4.3367199999999051E-3</v>
      </c>
      <c r="E10" s="593">
        <v>2.7</v>
      </c>
      <c r="F10" s="593">
        <v>2.2999999999999998</v>
      </c>
      <c r="G10" s="593">
        <v>4.0999999999999996</v>
      </c>
      <c r="H10" s="593">
        <v>2.2000000000000002</v>
      </c>
      <c r="I10" s="593"/>
      <c r="J10" s="593"/>
      <c r="K10" s="602"/>
    </row>
    <row r="11" spans="1:12" s="2" customFormat="1" ht="29.25" customHeight="1">
      <c r="B11" s="128" t="s">
        <v>456</v>
      </c>
      <c r="C11" s="150" t="s">
        <v>128</v>
      </c>
      <c r="D11" s="592">
        <v>-1.7884</v>
      </c>
      <c r="E11" s="593">
        <v>0</v>
      </c>
      <c r="F11" s="593">
        <v>0</v>
      </c>
      <c r="G11" s="593">
        <v>0</v>
      </c>
      <c r="H11" s="593">
        <v>0</v>
      </c>
      <c r="I11" s="593"/>
      <c r="J11" s="593"/>
      <c r="K11" s="602"/>
    </row>
    <row r="12" spans="1:12" s="2" customFormat="1">
      <c r="B12" s="127" t="s">
        <v>162</v>
      </c>
      <c r="C12" s="150" t="s">
        <v>128</v>
      </c>
      <c r="D12" s="592">
        <v>-38.011499999999998</v>
      </c>
      <c r="E12" s="593">
        <v>-53.502449069999997</v>
      </c>
      <c r="F12" s="593">
        <v>-49.734613590000002</v>
      </c>
      <c r="G12" s="593">
        <v>-46.435092740000009</v>
      </c>
      <c r="H12" s="593">
        <v>-40.39423270999999</v>
      </c>
      <c r="I12" s="593"/>
      <c r="J12" s="593"/>
      <c r="K12" s="602"/>
    </row>
    <row r="13" spans="1:12" s="2" customFormat="1">
      <c r="B13" s="127" t="s">
        <v>163</v>
      </c>
      <c r="C13" s="150" t="s">
        <v>128</v>
      </c>
      <c r="D13" s="592">
        <v>-0.7</v>
      </c>
      <c r="E13" s="593">
        <v>0.77777777000000003</v>
      </c>
      <c r="F13" s="593">
        <v>0.85311110999999995</v>
      </c>
      <c r="G13" s="593">
        <v>-0.26322721000000004</v>
      </c>
      <c r="H13" s="593">
        <v>0</v>
      </c>
      <c r="I13" s="593"/>
      <c r="J13" s="593"/>
      <c r="K13" s="602"/>
    </row>
    <row r="14" spans="1:12" s="2" customFormat="1">
      <c r="B14" s="127" t="s">
        <v>164</v>
      </c>
      <c r="C14" s="150" t="s">
        <v>128</v>
      </c>
      <c r="D14" s="628">
        <v>0</v>
      </c>
      <c r="E14" s="629">
        <v>0</v>
      </c>
      <c r="F14" s="629">
        <v>0</v>
      </c>
      <c r="G14" s="629">
        <v>0</v>
      </c>
      <c r="H14" s="629">
        <v>0</v>
      </c>
      <c r="I14" s="629"/>
      <c r="J14" s="629"/>
      <c r="K14" s="630"/>
    </row>
    <row r="15" spans="1:12" s="2" customFormat="1">
      <c r="A15" s="3">
        <v>1</v>
      </c>
      <c r="B15" s="866" t="s">
        <v>243</v>
      </c>
      <c r="C15" s="150" t="s">
        <v>128</v>
      </c>
      <c r="D15" s="590"/>
      <c r="E15" s="591"/>
      <c r="F15" s="591"/>
      <c r="G15" s="591"/>
      <c r="H15" s="591"/>
      <c r="I15" s="591"/>
      <c r="J15" s="591"/>
      <c r="K15" s="601"/>
    </row>
    <row r="16" spans="1:12" s="2" customFormat="1">
      <c r="A16" s="3">
        <v>2</v>
      </c>
      <c r="B16" s="866" t="s">
        <v>243</v>
      </c>
      <c r="C16" s="150" t="s">
        <v>128</v>
      </c>
      <c r="D16" s="592"/>
      <c r="E16" s="593"/>
      <c r="F16" s="593"/>
      <c r="G16" s="593"/>
      <c r="H16" s="593"/>
      <c r="I16" s="593"/>
      <c r="J16" s="593"/>
      <c r="K16" s="602"/>
    </row>
    <row r="17" spans="1:11" s="2" customFormat="1">
      <c r="A17" s="3">
        <v>3</v>
      </c>
      <c r="B17" s="866" t="s">
        <v>243</v>
      </c>
      <c r="C17" s="150" t="s">
        <v>128</v>
      </c>
      <c r="D17" s="592"/>
      <c r="E17" s="593"/>
      <c r="F17" s="593"/>
      <c r="G17" s="593"/>
      <c r="H17" s="593"/>
      <c r="I17" s="593"/>
      <c r="J17" s="593"/>
      <c r="K17" s="602"/>
    </row>
    <row r="18" spans="1:11" s="2" customFormat="1">
      <c r="B18" s="12" t="s">
        <v>165</v>
      </c>
      <c r="C18" s="150" t="s">
        <v>128</v>
      </c>
      <c r="D18" s="631">
        <f>SUM(D9:D17)</f>
        <v>270.60722134999969</v>
      </c>
      <c r="E18" s="632">
        <f t="shared" ref="E18:K18" si="1">SUM(E9:E17)</f>
        <v>248.29755093</v>
      </c>
      <c r="F18" s="632">
        <f t="shared" si="1"/>
        <v>240.46538640999998</v>
      </c>
      <c r="G18" s="632">
        <f t="shared" si="1"/>
        <v>201.26490725999997</v>
      </c>
      <c r="H18" s="632">
        <f t="shared" si="1"/>
        <v>214.90576729</v>
      </c>
      <c r="I18" s="632">
        <f t="shared" si="1"/>
        <v>0</v>
      </c>
      <c r="J18" s="632">
        <f t="shared" si="1"/>
        <v>0</v>
      </c>
      <c r="K18" s="633">
        <f t="shared" si="1"/>
        <v>0</v>
      </c>
    </row>
    <row r="19" spans="1:11" s="2" customFormat="1">
      <c r="B19" s="127" t="s">
        <v>166</v>
      </c>
      <c r="C19" s="150" t="s">
        <v>128</v>
      </c>
      <c r="D19" s="634">
        <v>130.5</v>
      </c>
      <c r="E19" s="635">
        <v>130</v>
      </c>
      <c r="F19" s="635">
        <v>139.69999999999999</v>
      </c>
      <c r="G19" s="635">
        <v>153.30000000000001</v>
      </c>
      <c r="H19" s="635">
        <v>140.39999999999998</v>
      </c>
      <c r="I19" s="635"/>
      <c r="J19" s="635"/>
      <c r="K19" s="636"/>
    </row>
    <row r="20" spans="1:11" s="2" customFormat="1">
      <c r="A20" s="3">
        <v>1</v>
      </c>
      <c r="B20" s="866" t="s">
        <v>243</v>
      </c>
      <c r="C20" s="150" t="s">
        <v>128</v>
      </c>
      <c r="D20" s="590"/>
      <c r="E20" s="591"/>
      <c r="F20" s="591"/>
      <c r="G20" s="591"/>
      <c r="H20" s="591"/>
      <c r="I20" s="591"/>
      <c r="J20" s="591"/>
      <c r="K20" s="601"/>
    </row>
    <row r="21" spans="1:11" s="2" customFormat="1">
      <c r="A21" s="3">
        <v>2</v>
      </c>
      <c r="B21" s="866" t="s">
        <v>243</v>
      </c>
      <c r="C21" s="150" t="s">
        <v>128</v>
      </c>
      <c r="D21" s="592"/>
      <c r="E21" s="593"/>
      <c r="F21" s="593"/>
      <c r="G21" s="593"/>
      <c r="H21" s="593"/>
      <c r="I21" s="593"/>
      <c r="J21" s="593"/>
      <c r="K21" s="602"/>
    </row>
    <row r="22" spans="1:11" s="2" customFormat="1">
      <c r="A22" s="3">
        <v>3</v>
      </c>
      <c r="B22" s="866" t="s">
        <v>243</v>
      </c>
      <c r="C22" s="150" t="s">
        <v>128</v>
      </c>
      <c r="D22" s="592"/>
      <c r="E22" s="593"/>
      <c r="F22" s="593"/>
      <c r="G22" s="593"/>
      <c r="H22" s="593"/>
      <c r="I22" s="593"/>
      <c r="J22" s="593"/>
      <c r="K22" s="602"/>
    </row>
    <row r="23" spans="1:11" s="2" customFormat="1">
      <c r="B23" s="12" t="s">
        <v>167</v>
      </c>
      <c r="C23" s="150" t="s">
        <v>128</v>
      </c>
      <c r="D23" s="606">
        <f>SUM(D18:D22)</f>
        <v>401.10722134999969</v>
      </c>
      <c r="E23" s="607">
        <f t="shared" ref="E23:K23" si="2">SUM(E18:E22)</f>
        <v>378.29755093</v>
      </c>
      <c r="F23" s="607">
        <f t="shared" si="2"/>
        <v>380.16538641</v>
      </c>
      <c r="G23" s="607">
        <f t="shared" si="2"/>
        <v>354.56490725999998</v>
      </c>
      <c r="H23" s="607">
        <f t="shared" si="2"/>
        <v>355.30576728999995</v>
      </c>
      <c r="I23" s="607">
        <f t="shared" si="2"/>
        <v>0</v>
      </c>
      <c r="J23" s="607">
        <f t="shared" si="2"/>
        <v>0</v>
      </c>
      <c r="K23" s="608">
        <f t="shared" si="2"/>
        <v>0</v>
      </c>
    </row>
    <row r="24" spans="1:11" s="2" customFormat="1">
      <c r="C24" s="134"/>
      <c r="D24" s="52"/>
      <c r="E24" s="52"/>
      <c r="F24" s="52"/>
      <c r="G24" s="52"/>
      <c r="H24" s="52"/>
      <c r="I24" s="52"/>
      <c r="J24" s="52"/>
      <c r="K24" s="52"/>
    </row>
    <row r="25" spans="1:11" s="2" customFormat="1">
      <c r="B25" s="12" t="s">
        <v>446</v>
      </c>
      <c r="C25" s="150" t="s">
        <v>128</v>
      </c>
      <c r="D25" s="54"/>
    </row>
    <row r="26" spans="1:11" s="2" customFormat="1">
      <c r="A26" s="3">
        <v>1</v>
      </c>
      <c r="B26" s="516" t="s">
        <v>586</v>
      </c>
      <c r="C26" s="150" t="s">
        <v>128</v>
      </c>
      <c r="D26" s="590">
        <v>1.3196999999999999</v>
      </c>
      <c r="E26" s="591">
        <v>-0.4</v>
      </c>
      <c r="F26" s="591">
        <v>-0.1</v>
      </c>
      <c r="G26" s="591">
        <v>-0.2</v>
      </c>
      <c r="H26" s="591">
        <v>-0.1</v>
      </c>
      <c r="I26" s="591"/>
      <c r="J26" s="591"/>
      <c r="K26" s="601"/>
    </row>
    <row r="27" spans="1:11" s="2" customFormat="1">
      <c r="A27" s="3">
        <v>2</v>
      </c>
      <c r="B27" s="516" t="s">
        <v>587</v>
      </c>
      <c r="C27" s="150" t="s">
        <v>128</v>
      </c>
      <c r="D27" s="592">
        <v>-10.054214999999999</v>
      </c>
      <c r="E27" s="593">
        <v>-10.093412460000001</v>
      </c>
      <c r="F27" s="593">
        <v>-9.5583737699999993</v>
      </c>
      <c r="G27" s="593">
        <v>-10.850108710000001</v>
      </c>
      <c r="H27" s="593">
        <v>-11.45076177</v>
      </c>
      <c r="I27" s="593"/>
      <c r="J27" s="593"/>
      <c r="K27" s="602"/>
    </row>
    <row r="28" spans="1:11" s="2" customFormat="1">
      <c r="A28" s="3">
        <v>3</v>
      </c>
      <c r="B28" s="516" t="s">
        <v>588</v>
      </c>
      <c r="C28" s="150" t="s">
        <v>128</v>
      </c>
      <c r="D28" s="592">
        <v>42.876539000000008</v>
      </c>
      <c r="E28" s="593">
        <v>0.1020660010000034</v>
      </c>
      <c r="F28" s="593">
        <v>-1.6284027399999998</v>
      </c>
      <c r="G28" s="593">
        <v>-0.46477278999999994</v>
      </c>
      <c r="H28" s="593">
        <v>-1.87554574</v>
      </c>
      <c r="I28" s="593"/>
      <c r="J28" s="593"/>
      <c r="K28" s="602"/>
    </row>
    <row r="29" spans="1:11" s="2" customFormat="1">
      <c r="A29" s="3">
        <v>4</v>
      </c>
      <c r="B29" s="516" t="s">
        <v>589</v>
      </c>
      <c r="C29" s="150" t="s">
        <v>128</v>
      </c>
      <c r="D29" s="592">
        <v>-0.18394802999999998</v>
      </c>
      <c r="E29" s="593">
        <v>-0.17374798000000002</v>
      </c>
      <c r="F29" s="593">
        <v>-8.4149000000000002E-2</v>
      </c>
      <c r="G29" s="593">
        <v>-0.10371408</v>
      </c>
      <c r="H29" s="593">
        <v>-1.332966E-2</v>
      </c>
      <c r="I29" s="593"/>
      <c r="J29" s="593"/>
      <c r="K29" s="602"/>
    </row>
    <row r="30" spans="1:11" s="2" customFormat="1">
      <c r="A30" s="3">
        <v>5</v>
      </c>
      <c r="B30" s="516" t="s">
        <v>590</v>
      </c>
      <c r="C30" s="150" t="s">
        <v>128</v>
      </c>
      <c r="D30" s="592">
        <v>0.29606278600000002</v>
      </c>
      <c r="E30" s="593">
        <v>0.38805146749999986</v>
      </c>
      <c r="F30" s="593">
        <v>0.34478409700000001</v>
      </c>
      <c r="G30" s="593">
        <v>0.35891927300000004</v>
      </c>
      <c r="H30" s="593">
        <v>1.4376836249999996</v>
      </c>
      <c r="I30" s="593"/>
      <c r="J30" s="593"/>
      <c r="K30" s="602"/>
    </row>
    <row r="31" spans="1:11" s="2" customFormat="1">
      <c r="A31" s="3">
        <v>6</v>
      </c>
      <c r="B31" s="516" t="s">
        <v>591</v>
      </c>
      <c r="C31" s="150" t="s">
        <v>128</v>
      </c>
      <c r="D31" s="592">
        <v>-2.9297996360000003</v>
      </c>
      <c r="E31" s="593">
        <v>-4.1809971749999999</v>
      </c>
      <c r="F31" s="593">
        <v>-3.2499000300000009</v>
      </c>
      <c r="G31" s="593">
        <v>-2.7110588600000001</v>
      </c>
      <c r="H31" s="593">
        <v>-4.9781236799900004</v>
      </c>
      <c r="I31" s="593"/>
      <c r="J31" s="593"/>
      <c r="K31" s="602"/>
    </row>
    <row r="32" spans="1:11" s="2" customFormat="1">
      <c r="A32" s="3">
        <v>7</v>
      </c>
      <c r="B32" s="516" t="s">
        <v>592</v>
      </c>
      <c r="C32" s="150" t="s">
        <v>128</v>
      </c>
      <c r="D32" s="592">
        <v>0.37867700000000004</v>
      </c>
      <c r="E32" s="593">
        <v>0.27920467999999998</v>
      </c>
      <c r="F32" s="593">
        <v>0.22100004000000001</v>
      </c>
      <c r="G32" s="593">
        <v>0.23152535999999999</v>
      </c>
      <c r="H32" s="593">
        <v>0.25081064999999997</v>
      </c>
      <c r="I32" s="593"/>
      <c r="J32" s="593"/>
      <c r="K32" s="602"/>
    </row>
    <row r="33" spans="1:11" s="2" customFormat="1">
      <c r="A33" s="3">
        <v>8</v>
      </c>
      <c r="B33" s="516" t="s">
        <v>593</v>
      </c>
      <c r="C33" s="150" t="s">
        <v>128</v>
      </c>
      <c r="D33" s="592">
        <v>0.40377359243856947</v>
      </c>
      <c r="E33" s="593">
        <v>0.37363962275289414</v>
      </c>
      <c r="F33" s="593">
        <v>0.15776231633790655</v>
      </c>
      <c r="G33" s="593">
        <v>0.26196700424945601</v>
      </c>
      <c r="H33" s="593">
        <v>0.21957549260789469</v>
      </c>
      <c r="I33" s="593"/>
      <c r="J33" s="593"/>
      <c r="K33" s="602"/>
    </row>
    <row r="34" spans="1:11" s="2" customFormat="1">
      <c r="A34" s="3">
        <v>9</v>
      </c>
      <c r="B34" s="516" t="s">
        <v>594</v>
      </c>
      <c r="C34" s="150" t="s">
        <v>128</v>
      </c>
      <c r="D34" s="592">
        <v>-12.26910086207608</v>
      </c>
      <c r="E34" s="593">
        <v>0.95212986207607853</v>
      </c>
      <c r="F34" s="593">
        <v>3.3029999999999999</v>
      </c>
      <c r="G34" s="593">
        <v>1.2040510000000002</v>
      </c>
      <c r="H34" s="593">
        <v>6.1662175750000001</v>
      </c>
      <c r="I34" s="593"/>
      <c r="J34" s="593"/>
      <c r="K34" s="602"/>
    </row>
    <row r="35" spans="1:11" s="2" customFormat="1">
      <c r="A35" s="3">
        <v>10</v>
      </c>
      <c r="B35" s="516" t="s">
        <v>595</v>
      </c>
      <c r="C35" s="150" t="s">
        <v>128</v>
      </c>
      <c r="D35" s="592">
        <v>-11.303225449843858</v>
      </c>
      <c r="E35" s="593">
        <v>32.769579494868658</v>
      </c>
      <c r="F35" s="593">
        <v>1.0296000000000003</v>
      </c>
      <c r="G35" s="593">
        <v>30.775635867378583</v>
      </c>
      <c r="H35" s="593">
        <v>32.237245271492775</v>
      </c>
      <c r="I35" s="593"/>
      <c r="J35" s="593"/>
      <c r="K35" s="602"/>
    </row>
    <row r="36" spans="1:11" s="2" customFormat="1">
      <c r="A36" s="3">
        <v>11</v>
      </c>
      <c r="B36" s="516" t="s">
        <v>596</v>
      </c>
      <c r="C36" s="150" t="s">
        <v>128</v>
      </c>
      <c r="D36" s="592">
        <v>0</v>
      </c>
      <c r="E36" s="593">
        <v>51.179034508097004</v>
      </c>
      <c r="F36" s="593">
        <v>-15.087448679294205</v>
      </c>
      <c r="G36" s="593">
        <v>-0.20623206954060525</v>
      </c>
      <c r="H36" s="593">
        <v>0</v>
      </c>
      <c r="I36" s="593"/>
      <c r="J36" s="593"/>
      <c r="K36" s="602"/>
    </row>
    <row r="37" spans="1:11" s="2" customFormat="1">
      <c r="A37" s="3">
        <v>12</v>
      </c>
      <c r="B37" s="516" t="s">
        <v>597</v>
      </c>
      <c r="C37" s="150" t="s">
        <v>128</v>
      </c>
      <c r="D37" s="592">
        <v>0</v>
      </c>
      <c r="E37" s="593">
        <v>0.28741558499999997</v>
      </c>
      <c r="F37" s="593">
        <v>-4.4837818102145306</v>
      </c>
      <c r="G37" s="593">
        <v>-3.9931659861526505</v>
      </c>
      <c r="H37" s="593">
        <v>-4.7709321255958521</v>
      </c>
      <c r="I37" s="593"/>
      <c r="J37" s="593"/>
      <c r="K37" s="602"/>
    </row>
    <row r="38" spans="1:11" s="2" customFormat="1">
      <c r="A38" s="3">
        <v>13</v>
      </c>
      <c r="B38" s="516" t="s">
        <v>598</v>
      </c>
      <c r="C38" s="150" t="s">
        <v>128</v>
      </c>
      <c r="D38" s="592">
        <v>0</v>
      </c>
      <c r="E38" s="593">
        <v>0</v>
      </c>
      <c r="F38" s="593">
        <v>0.26959761161680751</v>
      </c>
      <c r="G38" s="593">
        <v>0.31905110994246044</v>
      </c>
      <c r="H38" s="593">
        <v>0.3701118264260696</v>
      </c>
      <c r="I38" s="593"/>
      <c r="J38" s="593"/>
      <c r="K38" s="602"/>
    </row>
    <row r="39" spans="1:11" s="2" customFormat="1">
      <c r="A39" s="3">
        <v>14</v>
      </c>
      <c r="B39" s="516" t="s">
        <v>599</v>
      </c>
      <c r="C39" s="150" t="s">
        <v>128</v>
      </c>
      <c r="D39" s="592">
        <v>-3.8593000000000002</v>
      </c>
      <c r="E39" s="593">
        <v>0</v>
      </c>
      <c r="F39" s="593">
        <v>0</v>
      </c>
      <c r="G39" s="593">
        <v>0</v>
      </c>
      <c r="H39" s="593">
        <v>0</v>
      </c>
      <c r="I39" s="593"/>
      <c r="J39" s="593"/>
      <c r="K39" s="602"/>
    </row>
    <row r="40" spans="1:11" s="2" customFormat="1">
      <c r="A40" s="3">
        <v>15</v>
      </c>
      <c r="B40" s="516" t="s">
        <v>600</v>
      </c>
      <c r="C40" s="150" t="s">
        <v>128</v>
      </c>
      <c r="D40" s="592">
        <v>0.1</v>
      </c>
      <c r="E40" s="593">
        <v>-1.3</v>
      </c>
      <c r="F40" s="593">
        <v>-1.55</v>
      </c>
      <c r="G40" s="593">
        <v>-1.1451564147383806</v>
      </c>
      <c r="H40" s="593">
        <v>-0.63354031973909231</v>
      </c>
      <c r="I40" s="593"/>
      <c r="J40" s="593"/>
      <c r="K40" s="602"/>
    </row>
    <row r="41" spans="1:11" s="2" customFormat="1">
      <c r="A41" s="3">
        <v>16</v>
      </c>
      <c r="B41" s="516" t="s">
        <v>601</v>
      </c>
      <c r="C41" s="150" t="s">
        <v>128</v>
      </c>
      <c r="D41" s="592">
        <v>0</v>
      </c>
      <c r="E41" s="593">
        <v>0</v>
      </c>
      <c r="F41" s="593">
        <v>0</v>
      </c>
      <c r="G41" s="593">
        <v>-3.6999999999999997</v>
      </c>
      <c r="H41" s="593">
        <v>0</v>
      </c>
      <c r="I41" s="593"/>
      <c r="J41" s="593"/>
      <c r="K41" s="602"/>
    </row>
    <row r="42" spans="1:11" s="2" customFormat="1">
      <c r="A42" s="3">
        <v>17</v>
      </c>
      <c r="B42" s="516" t="s">
        <v>606</v>
      </c>
      <c r="C42" s="150" t="s">
        <v>128</v>
      </c>
      <c r="D42" s="592">
        <v>0</v>
      </c>
      <c r="E42" s="593">
        <v>0</v>
      </c>
      <c r="F42" s="593">
        <v>0</v>
      </c>
      <c r="G42" s="593">
        <v>1.226</v>
      </c>
      <c r="H42" s="593">
        <v>0.53291890519999996</v>
      </c>
      <c r="I42" s="593"/>
      <c r="J42" s="593"/>
      <c r="K42" s="602"/>
    </row>
    <row r="43" spans="1:11" s="2" customFormat="1">
      <c r="A43" s="3">
        <v>18</v>
      </c>
      <c r="B43" s="516" t="s">
        <v>631</v>
      </c>
      <c r="C43" s="150" t="s">
        <v>128</v>
      </c>
      <c r="D43" s="592">
        <v>0</v>
      </c>
      <c r="E43" s="593">
        <v>0</v>
      </c>
      <c r="F43" s="593">
        <v>0</v>
      </c>
      <c r="G43" s="593">
        <v>0</v>
      </c>
      <c r="H43" s="593">
        <v>-1.9057532748218389</v>
      </c>
      <c r="I43" s="593"/>
      <c r="J43" s="593"/>
      <c r="K43" s="602"/>
    </row>
    <row r="44" spans="1:11" s="2" customFormat="1">
      <c r="A44" s="3">
        <v>19</v>
      </c>
      <c r="B44" s="952" t="s">
        <v>652</v>
      </c>
      <c r="C44" s="150" t="s">
        <v>128</v>
      </c>
      <c r="D44" s="592">
        <v>0</v>
      </c>
      <c r="E44" s="593">
        <v>0</v>
      </c>
      <c r="F44" s="593">
        <v>0</v>
      </c>
      <c r="G44" s="593">
        <v>0</v>
      </c>
      <c r="H44" s="951">
        <v>0.50048638960282688</v>
      </c>
      <c r="I44" s="593"/>
      <c r="J44" s="593"/>
      <c r="K44" s="602"/>
    </row>
    <row r="45" spans="1:11" s="2" customFormat="1">
      <c r="A45" s="3">
        <v>20</v>
      </c>
      <c r="B45" s="516" t="s">
        <v>243</v>
      </c>
      <c r="C45" s="150" t="s">
        <v>128</v>
      </c>
      <c r="D45" s="592"/>
      <c r="E45" s="593"/>
      <c r="F45" s="593"/>
      <c r="G45" s="593"/>
      <c r="H45" s="593"/>
      <c r="I45" s="593"/>
      <c r="J45" s="593"/>
      <c r="K45" s="602"/>
    </row>
    <row r="46" spans="1:11" s="2" customFormat="1">
      <c r="B46" s="12" t="s">
        <v>399</v>
      </c>
      <c r="C46" s="150" t="s">
        <v>128</v>
      </c>
      <c r="D46" s="606">
        <f>SUM(D26:D45)</f>
        <v>4.7751634005186387</v>
      </c>
      <c r="E46" s="607">
        <f t="shared" ref="E46:K46" si="3">SUM(E26:E45)</f>
        <v>70.182963606294649</v>
      </c>
      <c r="F46" s="607">
        <f t="shared" si="3"/>
        <v>-30.416311964554026</v>
      </c>
      <c r="G46" s="607">
        <f t="shared" si="3"/>
        <v>11.002940704138862</v>
      </c>
      <c r="H46" s="607">
        <f t="shared" si="3"/>
        <v>15.98706316518278</v>
      </c>
      <c r="I46" s="607">
        <f t="shared" si="3"/>
        <v>0</v>
      </c>
      <c r="J46" s="607">
        <f t="shared" si="3"/>
        <v>0</v>
      </c>
      <c r="K46" s="608">
        <f t="shared" si="3"/>
        <v>0</v>
      </c>
    </row>
    <row r="47" spans="1:11" s="2" customFormat="1">
      <c r="C47" s="134"/>
      <c r="D47" s="53"/>
      <c r="E47" s="52"/>
      <c r="F47" s="52"/>
      <c r="G47" s="52"/>
      <c r="H47" s="52"/>
      <c r="I47" s="52"/>
      <c r="J47" s="52"/>
      <c r="K47" s="52"/>
    </row>
    <row r="48" spans="1:11" s="2" customFormat="1">
      <c r="B48" s="12" t="s">
        <v>445</v>
      </c>
      <c r="C48" s="150" t="s">
        <v>128</v>
      </c>
      <c r="D48" s="606">
        <f>D46+D23</f>
        <v>405.88238475051833</v>
      </c>
      <c r="E48" s="607">
        <f t="shared" ref="E48:K48" si="4">E46+E23</f>
        <v>448.48051453629466</v>
      </c>
      <c r="F48" s="607">
        <f t="shared" si="4"/>
        <v>349.74907444544596</v>
      </c>
      <c r="G48" s="607">
        <f t="shared" si="4"/>
        <v>365.56784796413882</v>
      </c>
      <c r="H48" s="607">
        <f t="shared" si="4"/>
        <v>371.29283045518275</v>
      </c>
      <c r="I48" s="607">
        <f t="shared" si="4"/>
        <v>0</v>
      </c>
      <c r="J48" s="607">
        <f t="shared" si="4"/>
        <v>0</v>
      </c>
      <c r="K48" s="608">
        <f t="shared" si="4"/>
        <v>0</v>
      </c>
    </row>
    <row r="49" spans="1:11" s="2" customFormat="1">
      <c r="B49" s="2" t="s">
        <v>400</v>
      </c>
      <c r="C49" s="150" t="s">
        <v>128</v>
      </c>
      <c r="D49" s="590">
        <v>405.87399999999997</v>
      </c>
      <c r="E49" s="591">
        <v>448.46708283962698</v>
      </c>
      <c r="F49" s="591">
        <v>349.69559804018809</v>
      </c>
      <c r="G49" s="591">
        <v>365.56937365089527</v>
      </c>
      <c r="H49" s="954">
        <v>371.2937835198029</v>
      </c>
      <c r="I49" s="591"/>
      <c r="J49" s="591"/>
      <c r="K49" s="601"/>
    </row>
    <row r="50" spans="1:11" s="2" customFormat="1">
      <c r="C50" s="134" t="s">
        <v>403</v>
      </c>
      <c r="D50" s="637" t="str">
        <f>IF(D$5="Actuals",IF(ABS(D48-D49)&lt;1,"OK","ERROR"),"N/A")</f>
        <v>OK</v>
      </c>
      <c r="E50" s="638" t="str">
        <f t="shared" ref="E50:K50" si="5">IF(E$5="Actuals",IF(ABS(E48-E49)&lt;1,"OK","ERROR"),"N/A")</f>
        <v>OK</v>
      </c>
      <c r="F50" s="638" t="str">
        <f t="shared" si="5"/>
        <v>OK</v>
      </c>
      <c r="G50" s="638" t="str">
        <f t="shared" si="5"/>
        <v>OK</v>
      </c>
      <c r="H50" s="638" t="str">
        <f t="shared" si="5"/>
        <v>OK</v>
      </c>
      <c r="I50" s="638" t="str">
        <f t="shared" si="5"/>
        <v>N/A</v>
      </c>
      <c r="J50" s="638" t="str">
        <f t="shared" si="5"/>
        <v>N/A</v>
      </c>
      <c r="K50" s="639" t="str">
        <f t="shared" si="5"/>
        <v>N/A</v>
      </c>
    </row>
    <row r="51" spans="1:11" s="2" customFormat="1">
      <c r="B51" s="2" t="s">
        <v>84</v>
      </c>
      <c r="C51" s="134"/>
      <c r="D51" s="54"/>
      <c r="H51" s="948"/>
    </row>
    <row r="52" spans="1:11" s="2" customFormat="1">
      <c r="B52" s="12" t="s">
        <v>401</v>
      </c>
      <c r="C52" s="150"/>
      <c r="D52" s="54"/>
    </row>
    <row r="53" spans="1:11" s="2" customFormat="1">
      <c r="A53" s="3">
        <v>1</v>
      </c>
      <c r="B53" s="515" t="s">
        <v>602</v>
      </c>
      <c r="C53" s="150" t="s">
        <v>128</v>
      </c>
      <c r="D53" s="590">
        <v>42.040999999999997</v>
      </c>
      <c r="E53" s="591">
        <v>43.255899999999997</v>
      </c>
      <c r="F53" s="591">
        <v>44.732400000000005</v>
      </c>
      <c r="G53" s="591">
        <v>48.107829173200003</v>
      </c>
      <c r="H53" s="591">
        <v>49.032218905200011</v>
      </c>
      <c r="I53" s="591"/>
      <c r="J53" s="591"/>
      <c r="K53" s="601"/>
    </row>
    <row r="54" spans="1:11" s="2" customFormat="1">
      <c r="A54" s="3">
        <v>2</v>
      </c>
      <c r="B54" s="515" t="s">
        <v>603</v>
      </c>
      <c r="C54" s="150" t="s">
        <v>128</v>
      </c>
      <c r="D54" s="592">
        <v>30.9314</v>
      </c>
      <c r="E54" s="593">
        <v>65.922167795981437</v>
      </c>
      <c r="F54" s="593">
        <v>-1.0007986500000001</v>
      </c>
      <c r="G54" s="593">
        <v>29.73603332016134</v>
      </c>
      <c r="H54" s="593">
        <v>31.589654550000002</v>
      </c>
      <c r="I54" s="593"/>
      <c r="J54" s="593"/>
      <c r="K54" s="602"/>
    </row>
    <row r="55" spans="1:11" s="2" customFormat="1">
      <c r="A55" s="3">
        <v>3</v>
      </c>
      <c r="B55" s="515" t="s">
        <v>604</v>
      </c>
      <c r="C55" s="150" t="s">
        <v>128</v>
      </c>
      <c r="D55" s="592">
        <v>16.506600000000002</v>
      </c>
      <c r="E55" s="593">
        <v>14.228890358494713</v>
      </c>
      <c r="F55" s="593">
        <v>21.079882741671465</v>
      </c>
      <c r="G55" s="593">
        <v>22.364947418649905</v>
      </c>
      <c r="H55" s="593">
        <v>18.489931668486495</v>
      </c>
      <c r="I55" s="593"/>
      <c r="J55" s="593"/>
      <c r="K55" s="602"/>
    </row>
    <row r="56" spans="1:11" s="2" customFormat="1">
      <c r="A56" s="3">
        <v>4</v>
      </c>
      <c r="B56" s="515" t="s">
        <v>605</v>
      </c>
      <c r="C56" s="150" t="s">
        <v>128</v>
      </c>
      <c r="D56" s="592">
        <v>4.5557000000000007</v>
      </c>
      <c r="E56" s="593">
        <v>4.2782</v>
      </c>
      <c r="F56" s="593">
        <v>3.5907389599999999</v>
      </c>
      <c r="G56" s="593">
        <v>3.3118381299999995</v>
      </c>
      <c r="H56" s="593">
        <v>3.2798600085979661</v>
      </c>
      <c r="I56" s="593"/>
      <c r="J56" s="593"/>
      <c r="K56" s="602"/>
    </row>
    <row r="57" spans="1:11" s="2" customFormat="1">
      <c r="A57" s="3">
        <v>5</v>
      </c>
      <c r="B57" s="515" t="s">
        <v>243</v>
      </c>
      <c r="C57" s="150" t="s">
        <v>128</v>
      </c>
      <c r="D57" s="592"/>
      <c r="E57" s="816"/>
      <c r="F57" s="593"/>
      <c r="G57" s="593"/>
      <c r="H57" s="593"/>
      <c r="I57" s="593"/>
      <c r="J57" s="593"/>
      <c r="K57" s="602"/>
    </row>
    <row r="58" spans="1:11" s="2" customFormat="1">
      <c r="A58" s="3">
        <v>6</v>
      </c>
      <c r="B58" s="515" t="s">
        <v>243</v>
      </c>
      <c r="C58" s="150" t="s">
        <v>128</v>
      </c>
      <c r="D58" s="592"/>
      <c r="E58" s="593"/>
      <c r="F58" s="593"/>
      <c r="G58" s="593"/>
      <c r="H58" s="593"/>
      <c r="I58" s="593"/>
      <c r="J58" s="593"/>
      <c r="K58" s="602"/>
    </row>
    <row r="59" spans="1:11" s="2" customFormat="1">
      <c r="A59" s="3">
        <v>7</v>
      </c>
      <c r="B59" s="515" t="s">
        <v>243</v>
      </c>
      <c r="C59" s="150" t="s">
        <v>128</v>
      </c>
      <c r="D59" s="592"/>
      <c r="E59" s="593"/>
      <c r="F59" s="593"/>
      <c r="G59" s="593"/>
      <c r="H59" s="593"/>
      <c r="I59" s="593"/>
      <c r="J59" s="593"/>
      <c r="K59" s="602"/>
    </row>
    <row r="60" spans="1:11" s="2" customFormat="1">
      <c r="A60" s="3">
        <v>8</v>
      </c>
      <c r="B60" s="515" t="s">
        <v>243</v>
      </c>
      <c r="C60" s="150" t="s">
        <v>128</v>
      </c>
      <c r="D60" s="592"/>
      <c r="E60" s="593"/>
      <c r="F60" s="593"/>
      <c r="G60" s="593"/>
      <c r="H60" s="593"/>
      <c r="I60" s="593"/>
      <c r="J60" s="593"/>
      <c r="K60" s="602"/>
    </row>
    <row r="61" spans="1:11" s="2" customFormat="1">
      <c r="A61" s="3">
        <v>9</v>
      </c>
      <c r="B61" s="515" t="s">
        <v>243</v>
      </c>
      <c r="C61" s="150" t="s">
        <v>128</v>
      </c>
      <c r="D61" s="592"/>
      <c r="E61" s="593"/>
      <c r="F61" s="593"/>
      <c r="G61" s="593"/>
      <c r="H61" s="593"/>
      <c r="I61" s="593"/>
      <c r="J61" s="593"/>
      <c r="K61" s="602"/>
    </row>
    <row r="62" spans="1:11" s="2" customFormat="1">
      <c r="A62" s="3">
        <v>10</v>
      </c>
      <c r="B62" s="515" t="s">
        <v>243</v>
      </c>
      <c r="C62" s="150" t="s">
        <v>128</v>
      </c>
      <c r="D62" s="592"/>
      <c r="E62" s="593"/>
      <c r="F62" s="593"/>
      <c r="G62" s="593"/>
      <c r="H62" s="593"/>
      <c r="I62" s="593"/>
      <c r="J62" s="593"/>
      <c r="K62" s="602"/>
    </row>
    <row r="63" spans="1:11" s="2" customFormat="1">
      <c r="A63" s="3">
        <v>11</v>
      </c>
      <c r="B63" s="515" t="s">
        <v>243</v>
      </c>
      <c r="C63" s="150" t="s">
        <v>128</v>
      </c>
      <c r="D63" s="592"/>
      <c r="E63" s="593"/>
      <c r="F63" s="593"/>
      <c r="G63" s="593"/>
      <c r="H63" s="593"/>
      <c r="I63" s="593"/>
      <c r="J63" s="593"/>
      <c r="K63" s="602"/>
    </row>
    <row r="64" spans="1:11" s="2" customFormat="1">
      <c r="A64" s="3">
        <v>12</v>
      </c>
      <c r="B64" s="515" t="s">
        <v>243</v>
      </c>
      <c r="C64" s="150" t="s">
        <v>128</v>
      </c>
      <c r="D64" s="592"/>
      <c r="E64" s="593"/>
      <c r="F64" s="593"/>
      <c r="G64" s="593"/>
      <c r="H64" s="593"/>
      <c r="I64" s="593"/>
      <c r="J64" s="593"/>
      <c r="K64" s="602"/>
    </row>
    <row r="65" spans="1:11" s="2" customFormat="1">
      <c r="A65" s="3">
        <v>13</v>
      </c>
      <c r="B65" s="515" t="s">
        <v>243</v>
      </c>
      <c r="C65" s="150" t="s">
        <v>128</v>
      </c>
      <c r="D65" s="592"/>
      <c r="E65" s="593"/>
      <c r="F65" s="593"/>
      <c r="G65" s="593"/>
      <c r="H65" s="593"/>
      <c r="I65" s="593"/>
      <c r="J65" s="593"/>
      <c r="K65" s="602"/>
    </row>
    <row r="66" spans="1:11" s="2" customFormat="1">
      <c r="A66" s="3">
        <v>14</v>
      </c>
      <c r="B66" s="515" t="s">
        <v>243</v>
      </c>
      <c r="C66" s="150" t="s">
        <v>128</v>
      </c>
      <c r="D66" s="592"/>
      <c r="E66" s="593"/>
      <c r="F66" s="593"/>
      <c r="G66" s="593"/>
      <c r="H66" s="593"/>
      <c r="I66" s="593"/>
      <c r="J66" s="593"/>
      <c r="K66" s="602"/>
    </row>
    <row r="67" spans="1:11" s="2" customFormat="1">
      <c r="A67" s="3">
        <v>15</v>
      </c>
      <c r="B67" s="515" t="s">
        <v>243</v>
      </c>
      <c r="C67" s="150" t="s">
        <v>128</v>
      </c>
      <c r="D67" s="592"/>
      <c r="E67" s="593"/>
      <c r="F67" s="593"/>
      <c r="G67" s="593"/>
      <c r="H67" s="593"/>
      <c r="I67" s="593"/>
      <c r="J67" s="593"/>
      <c r="K67" s="602"/>
    </row>
    <row r="68" spans="1:11" s="2" customFormat="1">
      <c r="A68" s="3">
        <v>16</v>
      </c>
      <c r="B68" s="515" t="s">
        <v>243</v>
      </c>
      <c r="C68" s="150" t="s">
        <v>128</v>
      </c>
      <c r="D68" s="592"/>
      <c r="E68" s="593"/>
      <c r="F68" s="593"/>
      <c r="G68" s="593"/>
      <c r="H68" s="593"/>
      <c r="I68" s="593"/>
      <c r="J68" s="593"/>
      <c r="K68" s="602"/>
    </row>
    <row r="69" spans="1:11" s="2" customFormat="1">
      <c r="A69" s="3">
        <v>17</v>
      </c>
      <c r="B69" s="515" t="s">
        <v>243</v>
      </c>
      <c r="C69" s="150" t="s">
        <v>128</v>
      </c>
      <c r="D69" s="592"/>
      <c r="E69" s="593"/>
      <c r="F69" s="593"/>
      <c r="G69" s="593"/>
      <c r="H69" s="593"/>
      <c r="I69" s="593"/>
      <c r="J69" s="593"/>
      <c r="K69" s="602"/>
    </row>
    <row r="70" spans="1:11" s="2" customFormat="1">
      <c r="A70" s="3">
        <v>18</v>
      </c>
      <c r="B70" s="515" t="s">
        <v>243</v>
      </c>
      <c r="C70" s="150" t="s">
        <v>128</v>
      </c>
      <c r="D70" s="592"/>
      <c r="E70" s="593"/>
      <c r="F70" s="593"/>
      <c r="G70" s="593"/>
      <c r="H70" s="593"/>
      <c r="I70" s="593"/>
      <c r="J70" s="593"/>
      <c r="K70" s="602"/>
    </row>
    <row r="71" spans="1:11" s="2" customFormat="1">
      <c r="A71" s="3">
        <v>19</v>
      </c>
      <c r="B71" s="515" t="s">
        <v>243</v>
      </c>
      <c r="C71" s="150" t="s">
        <v>128</v>
      </c>
      <c r="D71" s="592"/>
      <c r="E71" s="593"/>
      <c r="F71" s="593"/>
      <c r="G71" s="593"/>
      <c r="H71" s="593"/>
      <c r="I71" s="593"/>
      <c r="J71" s="593"/>
      <c r="K71" s="602"/>
    </row>
    <row r="72" spans="1:11" s="2" customFormat="1">
      <c r="A72" s="3">
        <v>20</v>
      </c>
      <c r="B72" s="515" t="s">
        <v>243</v>
      </c>
      <c r="C72" s="150" t="s">
        <v>128</v>
      </c>
      <c r="D72" s="592"/>
      <c r="E72" s="593"/>
      <c r="F72" s="593"/>
      <c r="G72" s="593"/>
      <c r="H72" s="593"/>
      <c r="I72" s="593"/>
      <c r="J72" s="593"/>
      <c r="K72" s="602"/>
    </row>
    <row r="73" spans="1:11" s="2" customFormat="1">
      <c r="A73" s="3">
        <v>21</v>
      </c>
      <c r="B73" s="515" t="s">
        <v>243</v>
      </c>
      <c r="C73" s="150" t="s">
        <v>128</v>
      </c>
      <c r="D73" s="592"/>
      <c r="E73" s="593"/>
      <c r="F73" s="593"/>
      <c r="G73" s="593"/>
      <c r="H73" s="593"/>
      <c r="I73" s="593"/>
      <c r="J73" s="593"/>
      <c r="K73" s="602"/>
    </row>
    <row r="74" spans="1:11" s="2" customFormat="1">
      <c r="A74" s="3">
        <v>22</v>
      </c>
      <c r="B74" s="515" t="s">
        <v>243</v>
      </c>
      <c r="C74" s="150" t="s">
        <v>128</v>
      </c>
      <c r="D74" s="592"/>
      <c r="E74" s="593"/>
      <c r="F74" s="593"/>
      <c r="G74" s="593"/>
      <c r="H74" s="593"/>
      <c r="I74" s="593"/>
      <c r="J74" s="593"/>
      <c r="K74" s="602"/>
    </row>
    <row r="75" spans="1:11" s="2" customFormat="1">
      <c r="A75" s="3">
        <v>23</v>
      </c>
      <c r="B75" s="515" t="s">
        <v>243</v>
      </c>
      <c r="C75" s="150" t="s">
        <v>128</v>
      </c>
      <c r="D75" s="592"/>
      <c r="E75" s="593"/>
      <c r="F75" s="593"/>
      <c r="G75" s="593"/>
      <c r="H75" s="593"/>
      <c r="I75" s="593"/>
      <c r="J75" s="593"/>
      <c r="K75" s="602"/>
    </row>
    <row r="76" spans="1:11" s="2" customFormat="1">
      <c r="A76" s="3">
        <v>24</v>
      </c>
      <c r="B76" s="515" t="s">
        <v>243</v>
      </c>
      <c r="C76" s="150" t="s">
        <v>128</v>
      </c>
      <c r="D76" s="592"/>
      <c r="E76" s="593"/>
      <c r="F76" s="593"/>
      <c r="G76" s="593"/>
      <c r="H76" s="593"/>
      <c r="I76" s="593"/>
      <c r="J76" s="593"/>
      <c r="K76" s="602"/>
    </row>
    <row r="77" spans="1:11" s="2" customFormat="1">
      <c r="A77" s="3">
        <v>25</v>
      </c>
      <c r="B77" s="515" t="s">
        <v>243</v>
      </c>
      <c r="C77" s="150" t="s">
        <v>128</v>
      </c>
      <c r="D77" s="628"/>
      <c r="E77" s="629"/>
      <c r="F77" s="629"/>
      <c r="G77" s="629"/>
      <c r="H77" s="629"/>
      <c r="I77" s="629"/>
      <c r="J77" s="629"/>
      <c r="K77" s="630"/>
    </row>
    <row r="78" spans="1:11" s="2" customFormat="1">
      <c r="B78" s="12" t="s">
        <v>171</v>
      </c>
      <c r="C78" s="150" t="s">
        <v>128</v>
      </c>
      <c r="D78" s="606">
        <f>SUM(D53:D77)</f>
        <v>94.034700000000001</v>
      </c>
      <c r="E78" s="607">
        <f>SUM(E53:E77)</f>
        <v>127.68515815447614</v>
      </c>
      <c r="F78" s="607">
        <f t="shared" ref="F78:K78" si="6">SUM(F53:F77)</f>
        <v>68.40222305167147</v>
      </c>
      <c r="G78" s="607">
        <f t="shared" si="6"/>
        <v>103.52064804201125</v>
      </c>
      <c r="H78" s="607">
        <f t="shared" si="6"/>
        <v>102.39166513228447</v>
      </c>
      <c r="I78" s="607">
        <f t="shared" si="6"/>
        <v>0</v>
      </c>
      <c r="J78" s="607">
        <f t="shared" si="6"/>
        <v>0</v>
      </c>
      <c r="K78" s="608">
        <f t="shared" si="6"/>
        <v>0</v>
      </c>
    </row>
    <row r="79" spans="1:11" s="2" customFormat="1">
      <c r="C79" s="134"/>
      <c r="D79" s="53"/>
      <c r="E79" s="52"/>
      <c r="F79" s="52"/>
      <c r="G79" s="52"/>
      <c r="H79" s="52"/>
      <c r="I79" s="52"/>
      <c r="J79" s="52"/>
      <c r="K79" s="52"/>
    </row>
    <row r="80" spans="1:11" s="2" customFormat="1">
      <c r="B80" s="12" t="s">
        <v>402</v>
      </c>
      <c r="C80" s="150" t="s">
        <v>128</v>
      </c>
      <c r="D80" s="606">
        <f>D48-D78</f>
        <v>311.84768475051834</v>
      </c>
      <c r="E80" s="607">
        <f t="shared" ref="E80:K80" si="7">E48-E78</f>
        <v>320.79535638181852</v>
      </c>
      <c r="F80" s="607">
        <f t="shared" si="7"/>
        <v>281.3468513937745</v>
      </c>
      <c r="G80" s="607">
        <f t="shared" si="7"/>
        <v>262.04719992212756</v>
      </c>
      <c r="H80" s="607">
        <f t="shared" si="7"/>
        <v>268.90116532289829</v>
      </c>
      <c r="I80" s="607">
        <f t="shared" si="7"/>
        <v>0</v>
      </c>
      <c r="J80" s="607">
        <f t="shared" si="7"/>
        <v>0</v>
      </c>
      <c r="K80" s="608">
        <f t="shared" si="7"/>
        <v>0</v>
      </c>
    </row>
    <row r="81" spans="2:11" s="2" customFormat="1">
      <c r="B81" s="12" t="s">
        <v>490</v>
      </c>
      <c r="C81" s="150" t="s">
        <v>128</v>
      </c>
      <c r="D81" s="640">
        <f>'R4 - Totex'!D90+'R4 - Totex'!D118</f>
        <v>311.83930000000009</v>
      </c>
      <c r="E81" s="641">
        <f>'R4 - Totex'!E90+'R4 - Totex'!E118</f>
        <v>320.78192468515078</v>
      </c>
      <c r="F81" s="641">
        <f>'R4 - Totex'!F90+'R4 - Totex'!F118</f>
        <v>281.29328839868271</v>
      </c>
      <c r="G81" s="641">
        <f>'R4 - Totex'!G90+'R4 - Totex'!G118</f>
        <v>262.04867302753399</v>
      </c>
      <c r="H81" s="641">
        <f>'R4 - Totex'!H90+'R4 - Totex'!H118</f>
        <v>268.90211838751844</v>
      </c>
      <c r="I81" s="641">
        <f>'R4 - Totex'!I90+'R4 - Totex'!I118</f>
        <v>300.70025533786691</v>
      </c>
      <c r="J81" s="641">
        <f>'R4 - Totex'!J90+'R4 - Totex'!J118</f>
        <v>358.56892917373727</v>
      </c>
      <c r="K81" s="641">
        <f>'R4 - Totex'!K90+'R4 - Totex'!K118</f>
        <v>371.41254814725113</v>
      </c>
    </row>
    <row r="82" spans="2:11" s="2" customFormat="1">
      <c r="C82" s="134" t="s">
        <v>403</v>
      </c>
      <c r="D82" s="568" t="str">
        <f>IF(D$5="Actuals",IF(ABS(D80-('R4 - Totex'!D90+'R4 - Totex'!D118))&lt;'RFPR cover'!$F$14,"OK","Error"),"N/A")</f>
        <v>OK</v>
      </c>
      <c r="E82" s="568" t="str">
        <f>IF(E$5="Actuals",IF(ABS(E80-('R4 - Totex'!E90+'R4 - Totex'!E118))&lt;'RFPR cover'!$F$14,"OK","Error"),"N/A")</f>
        <v>OK</v>
      </c>
      <c r="F82" s="568" t="str">
        <f>IF(F$5="Actuals",IF(ABS(F80-('R4 - Totex'!F90+'R4 - Totex'!F118))&lt;'RFPR cover'!$F$14,"OK","Error"),"N/A")</f>
        <v>OK</v>
      </c>
      <c r="G82" s="568" t="str">
        <f>IF(G$5="Actuals",IF(ABS(G80-('R4 - Totex'!G90+'R4 - Totex'!G118))&lt;'RFPR cover'!$F$14,"OK","Error"),"N/A")</f>
        <v>OK</v>
      </c>
      <c r="H82" s="568" t="str">
        <f>IF(H$5="Actuals",IF(ABS(H80-('R4 - Totex'!H90+'R4 - Totex'!H118))&lt;'RFPR cover'!$F$14,"OK","Error"),"N/A")</f>
        <v>OK</v>
      </c>
      <c r="I82" s="568" t="str">
        <f>IF(I$5="Actuals",IF(ABS(I80-('R4 - Totex'!I90+'R4 - Totex'!I118))&lt;'RFPR cover'!$F$14,"OK","Error"),"N/A")</f>
        <v>N/A</v>
      </c>
      <c r="J82" s="568" t="str">
        <f>IF(J$5="Actuals",IF(ABS(J80-('R4 - Totex'!J90+'R4 - Totex'!J118))&lt;'RFPR cover'!$F$14,"OK","Error"),"N/A")</f>
        <v>N/A</v>
      </c>
      <c r="K82" s="568" t="str">
        <f>IF(K$5="Actuals",IF(ABS(K80-('R4 - Totex'!K90+'R4 - Totex'!K118))&lt;'RFPR cover'!$F$14,"OK","Error"),"N/A")</f>
        <v>N/A</v>
      </c>
    </row>
    <row r="83" spans="2:11" s="2" customFormat="1">
      <c r="C83" s="134"/>
    </row>
    <row r="84" spans="2:11">
      <c r="D84" s="213"/>
      <c r="E84" s="213"/>
      <c r="F84" s="213"/>
      <c r="G84" s="213"/>
      <c r="H84" s="213"/>
      <c r="I84" s="213"/>
      <c r="J84" s="213"/>
      <c r="K84" s="213"/>
    </row>
    <row r="85" spans="2:11">
      <c r="D85" s="213"/>
      <c r="E85" s="947"/>
      <c r="F85" s="947"/>
      <c r="G85" s="213"/>
      <c r="H85" s="947"/>
      <c r="I85" s="213"/>
      <c r="J85" s="213"/>
      <c r="K85" s="213"/>
    </row>
    <row r="86" spans="2:11">
      <c r="D86" s="213"/>
      <c r="E86" s="213"/>
      <c r="F86" s="213"/>
      <c r="G86" s="213"/>
      <c r="H86" s="213"/>
      <c r="I86" s="213"/>
      <c r="J86" s="213"/>
      <c r="K86" s="213"/>
    </row>
  </sheetData>
  <conditionalFormatting sqref="D6:J6">
    <cfRule type="expression" dxfId="53" priority="17">
      <formula>AND(D$5="Actuals",E$5="N/A")</formula>
    </cfRule>
  </conditionalFormatting>
  <conditionalFormatting sqref="D5:K5">
    <cfRule type="expression" dxfId="52" priority="8">
      <formula>AND(D$5="Actuals",E$5="N/A")</formula>
    </cfRule>
  </conditionalFormatting>
  <conditionalFormatting sqref="D9:K14 D48:K50 D80:K80 D82:K82 D18:K19 D23:K23 D53:K78 D26:K46">
    <cfRule type="expression" dxfId="51" priority="3">
      <formula>D$5="N/A"</formula>
    </cfRule>
  </conditionalFormatting>
  <conditionalFormatting sqref="D15:K17">
    <cfRule type="expression" dxfId="50" priority="2">
      <formula>D$5="N/A"</formula>
    </cfRule>
  </conditionalFormatting>
  <conditionalFormatting sqref="D20:K22">
    <cfRule type="expression" dxfId="49" priority="1">
      <formula>D$5="N/A"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T154"/>
  <sheetViews>
    <sheetView showGridLines="0" zoomScale="70" zoomScaleNormal="70" workbookViewId="0">
      <pane ySplit="6" topLeftCell="A7" activePane="bottomLeft" state="frozen"/>
      <selection activeCell="B75" sqref="A1:XFD1048576"/>
      <selection pane="bottomLeft" activeCell="H6" sqref="H6"/>
    </sheetView>
  </sheetViews>
  <sheetFormatPr defaultColWidth="9.08984375" defaultRowHeight="12.6"/>
  <cols>
    <col min="1" max="1" width="8.36328125" style="2" customWidth="1"/>
    <col min="2" max="2" width="75.453125" style="127" customWidth="1"/>
    <col min="3" max="3" width="13.36328125" style="134" customWidth="1"/>
    <col min="4" max="11" width="11.08984375" style="2" customWidth="1"/>
    <col min="12" max="13" width="12.90625" style="2" customWidth="1"/>
    <col min="14" max="14" width="25.453125" style="2" customWidth="1"/>
    <col min="15" max="16384" width="9.08984375" style="2"/>
  </cols>
  <sheetData>
    <row r="1" spans="1:20" s="31" customFormat="1" ht="21">
      <c r="A1" s="901" t="s">
        <v>99</v>
      </c>
      <c r="B1" s="923"/>
      <c r="C1" s="276"/>
      <c r="D1" s="254"/>
      <c r="E1" s="254"/>
      <c r="F1" s="254"/>
      <c r="G1" s="254"/>
      <c r="H1" s="254"/>
      <c r="I1" s="255"/>
      <c r="J1" s="255"/>
      <c r="K1" s="256"/>
      <c r="L1" s="256"/>
      <c r="M1" s="256"/>
      <c r="N1" s="256"/>
      <c r="O1" s="359"/>
    </row>
    <row r="2" spans="1:20" s="31" customFormat="1" ht="21">
      <c r="A2" s="904" t="str">
        <f>'RFPR cover'!C5</f>
        <v>WPD-WMID</v>
      </c>
      <c r="B2" s="917"/>
      <c r="C2" s="132"/>
      <c r="D2" s="29"/>
      <c r="E2" s="29"/>
      <c r="F2" s="29"/>
      <c r="G2" s="29"/>
      <c r="H2" s="29"/>
      <c r="I2" s="27"/>
      <c r="J2" s="27"/>
      <c r="K2" s="27"/>
      <c r="L2" s="27"/>
      <c r="M2" s="27"/>
      <c r="N2" s="27"/>
      <c r="O2" s="121"/>
    </row>
    <row r="3" spans="1:20" s="31" customFormat="1" ht="21">
      <c r="A3" s="907">
        <f>'RFPR cover'!C7</f>
        <v>2020</v>
      </c>
      <c r="B3" s="918"/>
      <c r="C3" s="275"/>
      <c r="D3" s="258"/>
      <c r="E3" s="258"/>
      <c r="F3" s="258"/>
      <c r="G3" s="258"/>
      <c r="H3" s="258"/>
      <c r="I3" s="253"/>
      <c r="J3" s="253"/>
      <c r="K3" s="253"/>
      <c r="L3" s="253"/>
      <c r="M3" s="253"/>
      <c r="N3" s="253"/>
      <c r="O3" s="259"/>
    </row>
    <row r="4" spans="1:20" ht="12.75" customHeight="1"/>
    <row r="5" spans="1:20" ht="12.75" customHeight="1">
      <c r="D5" s="385" t="str">
        <f>IF(D6&lt;='RFPR cover'!$C$7,"Actuals","Forecast")</f>
        <v>Actuals</v>
      </c>
      <c r="E5" s="386" t="str">
        <f>IF(E6&lt;='RFPR cover'!$C$7,"Actuals","Forecast")</f>
        <v>Actuals</v>
      </c>
      <c r="F5" s="386" t="str">
        <f>IF(F6&lt;='RFPR cover'!$C$7,"Actuals","Forecast")</f>
        <v>Actuals</v>
      </c>
      <c r="G5" s="386" t="str">
        <f>IF(G6&lt;='RFPR cover'!$C$7,"Actuals","Forecast")</f>
        <v>Actuals</v>
      </c>
      <c r="H5" s="386" t="str">
        <f>IF(H6&lt;='RFPR cover'!$C$7,"Actuals","Forecast")</f>
        <v>Actuals</v>
      </c>
      <c r="I5" s="386" t="str">
        <f>IF(I6&lt;='RFPR cover'!$C$7,"Actuals","Forecast")</f>
        <v>Forecast</v>
      </c>
      <c r="J5" s="386" t="str">
        <f>IF(J6&lt;='RFPR cover'!$C$7,"Actuals","Forecast")</f>
        <v>Forecast</v>
      </c>
      <c r="K5" s="387" t="str">
        <f>IF(K6&lt;='RFPR cover'!$C$7,"Actuals","Forecast")</f>
        <v>Forecast</v>
      </c>
    </row>
    <row r="6" spans="1:20" ht="27.75" customHeight="1">
      <c r="B6" s="770"/>
      <c r="D6" s="115">
        <f>'RFPR cover'!$C$13</f>
        <v>2016</v>
      </c>
      <c r="E6" s="116">
        <f>D6+1</f>
        <v>2017</v>
      </c>
      <c r="F6" s="116">
        <f t="shared" ref="F6:K6" si="0">E6+1</f>
        <v>2018</v>
      </c>
      <c r="G6" s="116">
        <f t="shared" si="0"/>
        <v>2019</v>
      </c>
      <c r="H6" s="116">
        <f t="shared" si="0"/>
        <v>2020</v>
      </c>
      <c r="I6" s="116">
        <f t="shared" si="0"/>
        <v>2021</v>
      </c>
      <c r="J6" s="116">
        <f t="shared" si="0"/>
        <v>2022</v>
      </c>
      <c r="K6" s="116">
        <f t="shared" si="0"/>
        <v>2023</v>
      </c>
      <c r="L6" s="99" t="str">
        <f>"Cumulative to "&amp;'RFPR cover'!$C$7</f>
        <v>Cumulative to 2020</v>
      </c>
      <c r="M6" s="117" t="s">
        <v>109</v>
      </c>
      <c r="N6" s="117" t="s">
        <v>311</v>
      </c>
    </row>
    <row r="7" spans="1:20" s="35" customFormat="1">
      <c r="B7" s="771"/>
      <c r="C7" s="156"/>
      <c r="D7" s="58"/>
      <c r="E7" s="58"/>
      <c r="F7" s="58"/>
      <c r="G7" s="58"/>
      <c r="H7" s="58"/>
      <c r="I7" s="58"/>
      <c r="J7" s="58"/>
      <c r="K7" s="58"/>
      <c r="L7" s="58"/>
      <c r="M7" s="58"/>
      <c r="N7" s="58"/>
    </row>
    <row r="8" spans="1:20" s="35" customFormat="1">
      <c r="B8" s="772" t="s">
        <v>390</v>
      </c>
      <c r="C8" s="288"/>
      <c r="D8" s="318"/>
      <c r="E8" s="318"/>
      <c r="F8" s="318"/>
      <c r="G8" s="318"/>
      <c r="H8" s="318"/>
      <c r="I8" s="318"/>
      <c r="J8" s="318"/>
      <c r="K8" s="318"/>
      <c r="L8" s="318"/>
      <c r="M8" s="318"/>
      <c r="N8" s="318"/>
    </row>
    <row r="9" spans="1:20" s="35" customFormat="1">
      <c r="B9" s="771"/>
      <c r="C9" s="156"/>
      <c r="D9" s="58"/>
      <c r="E9" s="58"/>
      <c r="F9" s="58"/>
      <c r="G9" s="58"/>
      <c r="H9" s="58"/>
      <c r="I9" s="58"/>
      <c r="J9" s="58"/>
      <c r="K9" s="58"/>
      <c r="L9" s="58"/>
      <c r="M9" s="58"/>
      <c r="N9" s="58"/>
    </row>
    <row r="10" spans="1:20">
      <c r="A10" s="35"/>
      <c r="B10" s="773" t="str">
        <f>Data!B48</f>
        <v>Totex</v>
      </c>
      <c r="C10" s="148"/>
      <c r="D10" s="82"/>
      <c r="E10" s="82"/>
      <c r="F10" s="82"/>
      <c r="G10" s="82"/>
      <c r="H10" s="82"/>
      <c r="I10" s="82"/>
      <c r="J10" s="82"/>
      <c r="K10" s="82"/>
      <c r="L10" s="82"/>
      <c r="M10" s="82"/>
      <c r="N10" s="82"/>
    </row>
    <row r="11" spans="1:20" s="35" customFormat="1">
      <c r="B11" s="774"/>
      <c r="C11" s="136"/>
      <c r="D11" s="317"/>
      <c r="E11" s="317"/>
      <c r="F11" s="317"/>
      <c r="G11" s="317"/>
      <c r="H11" s="317"/>
      <c r="I11" s="317"/>
      <c r="J11" s="317"/>
      <c r="K11" s="317"/>
      <c r="L11" s="317"/>
      <c r="M11" s="317"/>
      <c r="N11" s="317"/>
    </row>
    <row r="12" spans="1:20">
      <c r="A12" s="35"/>
      <c r="B12" s="302" t="s">
        <v>34</v>
      </c>
      <c r="C12" s="153" t="str">
        <f>'RFPR cover'!$C$14</f>
        <v>£m 12/13</v>
      </c>
      <c r="D12" s="478">
        <v>294.10013655741568</v>
      </c>
      <c r="E12" s="479">
        <v>296.18749782008234</v>
      </c>
      <c r="F12" s="479">
        <v>250.3580664765947</v>
      </c>
      <c r="G12" s="479">
        <v>226.31467898192739</v>
      </c>
      <c r="H12" s="953">
        <v>226.37342784754466</v>
      </c>
      <c r="I12" s="479">
        <v>248.91098737456997</v>
      </c>
      <c r="J12" s="479">
        <v>290.63696878601996</v>
      </c>
      <c r="K12" s="479">
        <v>293.489959129</v>
      </c>
      <c r="L12" s="105">
        <f>SUM(D12:INDEX(D12:K12,0,MATCH('RFPR cover'!$C$7,$D$6:$K$6,0)))</f>
        <v>1293.3338076835648</v>
      </c>
      <c r="M12" s="106">
        <f>SUM(D12:K12)</f>
        <v>2126.3717229731546</v>
      </c>
      <c r="N12" s="63"/>
      <c r="O12" s="63"/>
    </row>
    <row r="13" spans="1:20" ht="25.2">
      <c r="A13" s="35"/>
      <c r="B13" s="775" t="s">
        <v>502</v>
      </c>
      <c r="C13" s="153" t="str">
        <f>'RFPR cover'!$C$14</f>
        <v>£m 12/13</v>
      </c>
      <c r="D13" s="480">
        <v>260.44338165260348</v>
      </c>
      <c r="E13" s="481">
        <v>261.35001924358107</v>
      </c>
      <c r="F13" s="481">
        <v>253.02472202307121</v>
      </c>
      <c r="G13" s="481">
        <v>257.57897462476495</v>
      </c>
      <c r="H13" s="481">
        <v>265.46932794023576</v>
      </c>
      <c r="I13" s="481">
        <v>263.80065504557717</v>
      </c>
      <c r="J13" s="481">
        <v>261.37293778057585</v>
      </c>
      <c r="K13" s="481">
        <v>264.11771019517028</v>
      </c>
      <c r="L13" s="103">
        <f>SUM(D13:INDEX(D13:K13,0,MATCH('RFPR cover'!$C$7,$D$6:$K$6,0)))</f>
        <v>1297.8664254842565</v>
      </c>
      <c r="M13" s="104">
        <f>SUM(D13:K13)</f>
        <v>2087.1577285055796</v>
      </c>
      <c r="N13" s="63"/>
      <c r="O13" s="63"/>
    </row>
    <row r="14" spans="1:20">
      <c r="A14" s="35"/>
      <c r="B14" s="776" t="s">
        <v>195</v>
      </c>
      <c r="C14" s="153" t="str">
        <f>'RFPR cover'!$C$14</f>
        <v>£m 12/13</v>
      </c>
      <c r="D14" s="100">
        <f>D13-D12</f>
        <v>-33.656754904812203</v>
      </c>
      <c r="E14" s="101">
        <f t="shared" ref="E14:M14" si="1">E13-E12</f>
        <v>-34.837478576501269</v>
      </c>
      <c r="F14" s="101">
        <f t="shared" si="1"/>
        <v>2.6666555464765054</v>
      </c>
      <c r="G14" s="101">
        <f t="shared" si="1"/>
        <v>31.264295642837567</v>
      </c>
      <c r="H14" s="101">
        <f t="shared" si="1"/>
        <v>39.095900092691096</v>
      </c>
      <c r="I14" s="101">
        <f t="shared" si="1"/>
        <v>14.889667671007203</v>
      </c>
      <c r="J14" s="101">
        <f t="shared" si="1"/>
        <v>-29.26403100544411</v>
      </c>
      <c r="K14" s="101">
        <f t="shared" si="1"/>
        <v>-29.372248933829724</v>
      </c>
      <c r="L14" s="100">
        <f t="shared" si="1"/>
        <v>4.5326178006916962</v>
      </c>
      <c r="M14" s="102">
        <f t="shared" si="1"/>
        <v>-39.213994467575048</v>
      </c>
      <c r="N14" s="63"/>
      <c r="O14" s="1007"/>
      <c r="P14" s="1007"/>
      <c r="Q14" s="1007"/>
      <c r="R14"/>
      <c r="S14"/>
      <c r="T14"/>
    </row>
    <row r="15" spans="1:20" ht="13.2">
      <c r="A15" s="35"/>
      <c r="B15" s="776"/>
      <c r="C15" s="153"/>
      <c r="D15" s="59"/>
      <c r="E15" s="59"/>
      <c r="F15" s="59"/>
      <c r="G15" s="59"/>
      <c r="H15" s="59"/>
      <c r="I15" s="59"/>
      <c r="J15" s="59"/>
      <c r="K15" s="59"/>
      <c r="L15" s="59"/>
      <c r="M15" s="59"/>
      <c r="O15" s="64"/>
      <c r="P15" s="64"/>
      <c r="Q15" s="64"/>
      <c r="R15"/>
      <c r="S15"/>
      <c r="T15"/>
    </row>
    <row r="16" spans="1:20">
      <c r="A16" s="35"/>
      <c r="B16" s="770" t="s">
        <v>178</v>
      </c>
      <c r="C16" s="134" t="s">
        <v>7</v>
      </c>
      <c r="D16" s="107">
        <f>1-INDEX(Data!$D$73:$D$100,MATCH('RFPR cover'!$C$5,Data!$B$73:$B$100,0),0)</f>
        <v>0.30000000000000004</v>
      </c>
      <c r="E16" s="108">
        <f>1-INDEX(Data!$D$73:$D$100,MATCH('RFPR cover'!$C$5,Data!$B$73:$B$100,0),0)</f>
        <v>0.30000000000000004</v>
      </c>
      <c r="F16" s="108">
        <f>1-INDEX(Data!$D$73:$D$100,MATCH('RFPR cover'!$C$5,Data!$B$73:$B$100,0),0)</f>
        <v>0.30000000000000004</v>
      </c>
      <c r="G16" s="108">
        <f>1-INDEX(Data!$D$73:$D$100,MATCH('RFPR cover'!$C$5,Data!$B$73:$B$100,0),0)</f>
        <v>0.30000000000000004</v>
      </c>
      <c r="H16" s="108">
        <f>1-INDEX(Data!$D$73:$D$100,MATCH('RFPR cover'!$C$5,Data!$B$73:$B$100,0),0)</f>
        <v>0.30000000000000004</v>
      </c>
      <c r="I16" s="108">
        <f>1-INDEX(Data!$D$73:$D$100,MATCH('RFPR cover'!$C$5,Data!$B$73:$B$100,0),0)</f>
        <v>0.30000000000000004</v>
      </c>
      <c r="J16" s="108">
        <f>1-INDEX(Data!$D$73:$D$100,MATCH('RFPR cover'!$C$5,Data!$B$73:$B$100,0),0)</f>
        <v>0.30000000000000004</v>
      </c>
      <c r="K16" s="109">
        <f>1-INDEX(Data!$D$73:$D$100,MATCH('RFPR cover'!$C$5,Data!$B$73:$B$100,0),0)</f>
        <v>0.30000000000000004</v>
      </c>
      <c r="L16" s="62"/>
      <c r="M16" s="62"/>
      <c r="O16"/>
      <c r="P16"/>
      <c r="Q16"/>
      <c r="R16"/>
      <c r="S16"/>
      <c r="T16"/>
    </row>
    <row r="17" spans="1:20">
      <c r="A17" s="35"/>
      <c r="B17" s="770"/>
      <c r="O17"/>
      <c r="P17"/>
      <c r="Q17"/>
      <c r="R17"/>
      <c r="S17"/>
      <c r="T17"/>
    </row>
    <row r="18" spans="1:20">
      <c r="A18" s="35"/>
      <c r="B18" s="777" t="s">
        <v>183</v>
      </c>
      <c r="C18" s="157" t="str">
        <f>'RFPR cover'!$C$14</f>
        <v>£m 12/13</v>
      </c>
      <c r="D18" s="93">
        <f>D14*D16</f>
        <v>-10.097026471443662</v>
      </c>
      <c r="E18" s="94">
        <f t="shared" ref="E18:K18" si="2">E14*E16</f>
        <v>-10.451243572950382</v>
      </c>
      <c r="F18" s="94">
        <f t="shared" si="2"/>
        <v>0.79999666394295177</v>
      </c>
      <c r="G18" s="94">
        <f t="shared" si="2"/>
        <v>9.3792886928512722</v>
      </c>
      <c r="H18" s="94">
        <f t="shared" si="2"/>
        <v>11.728770027807331</v>
      </c>
      <c r="I18" s="94">
        <f t="shared" si="2"/>
        <v>4.4669003013021618</v>
      </c>
      <c r="J18" s="94">
        <f t="shared" si="2"/>
        <v>-8.7792093016332338</v>
      </c>
      <c r="K18" s="94">
        <f t="shared" si="2"/>
        <v>-8.8116746801489185</v>
      </c>
      <c r="L18" s="93">
        <f>SUM(D18:INDEX(D18:K18,0,MATCH('RFPR cover'!$C$7,$D$6:$K$6,0)))</f>
        <v>1.3597853402075106</v>
      </c>
      <c r="M18" s="95">
        <f>SUM(D18:K18)</f>
        <v>-11.764198340272479</v>
      </c>
      <c r="O18"/>
      <c r="P18"/>
      <c r="Q18"/>
      <c r="R18"/>
      <c r="S18"/>
      <c r="T18"/>
    </row>
    <row r="19" spans="1:20">
      <c r="A19" s="35"/>
      <c r="B19" s="777" t="s">
        <v>280</v>
      </c>
      <c r="C19" s="157" t="str">
        <f>'RFPR cover'!$C$14</f>
        <v>£m 12/13</v>
      </c>
      <c r="D19" s="90">
        <f>D14*(1-D16)</f>
        <v>-23.559728433368541</v>
      </c>
      <c r="E19" s="91">
        <f t="shared" ref="E19:K19" si="3">E14*(1-E16)</f>
        <v>-24.386235003550887</v>
      </c>
      <c r="F19" s="91">
        <f t="shared" si="3"/>
        <v>1.8666588825335537</v>
      </c>
      <c r="G19" s="91">
        <f t="shared" si="3"/>
        <v>21.885006949986295</v>
      </c>
      <c r="H19" s="91">
        <f t="shared" si="3"/>
        <v>27.367130064883767</v>
      </c>
      <c r="I19" s="91">
        <f t="shared" si="3"/>
        <v>10.422767369705042</v>
      </c>
      <c r="J19" s="91">
        <f t="shared" si="3"/>
        <v>-20.484821703810876</v>
      </c>
      <c r="K19" s="91">
        <f t="shared" si="3"/>
        <v>-20.560574253680805</v>
      </c>
      <c r="L19" s="90">
        <f>SUM(D19:INDEX(D19:K19,0,MATCH('RFPR cover'!$C$7,$D$6:$K$6,0)))</f>
        <v>3.1728324604841909</v>
      </c>
      <c r="M19" s="92">
        <f>SUM(D19:K19)</f>
        <v>-27.449796127302449</v>
      </c>
      <c r="O19"/>
      <c r="P19"/>
      <c r="Q19"/>
      <c r="R19"/>
      <c r="S19"/>
      <c r="T19"/>
    </row>
    <row r="20" spans="1:20">
      <c r="A20" s="35"/>
      <c r="B20" s="770"/>
      <c r="O20"/>
      <c r="P20"/>
      <c r="Q20"/>
      <c r="R20"/>
      <c r="S20"/>
      <c r="T20"/>
    </row>
    <row r="21" spans="1:20">
      <c r="A21" s="35"/>
      <c r="B21" s="778" t="s">
        <v>182</v>
      </c>
      <c r="N21" s="63"/>
      <c r="O21"/>
      <c r="P21"/>
      <c r="Q21"/>
      <c r="R21"/>
      <c r="S21"/>
      <c r="T21"/>
    </row>
    <row r="22" spans="1:20">
      <c r="A22" s="267" t="s">
        <v>151</v>
      </c>
      <c r="B22" s="768" t="s">
        <v>621</v>
      </c>
      <c r="C22" s="153" t="str">
        <f>'RFPR cover'!$C$14</f>
        <v>£m 12/13</v>
      </c>
      <c r="D22" s="945">
        <v>0</v>
      </c>
      <c r="E22" s="579">
        <v>13.469733518085491</v>
      </c>
      <c r="F22" s="579">
        <v>-12.736583527773119</v>
      </c>
      <c r="G22" s="579">
        <v>-0.2399611728982512</v>
      </c>
      <c r="H22" s="579">
        <v>0</v>
      </c>
      <c r="I22" s="946">
        <v>0</v>
      </c>
      <c r="J22" s="946">
        <v>0</v>
      </c>
      <c r="K22" s="946">
        <v>0</v>
      </c>
      <c r="L22" s="580">
        <f>SUM(D22:INDEX(D22:K22,0,MATCH('RFPR cover'!$C$7,$D$6:$K$6,0)))</f>
        <v>0.49318881741412052</v>
      </c>
      <c r="M22" s="581">
        <f t="shared" ref="M22:M27" si="4">SUM(D22:K22)</f>
        <v>0.49318881741412052</v>
      </c>
      <c r="N22" s="569" t="s">
        <v>628</v>
      </c>
      <c r="O22"/>
      <c r="P22"/>
      <c r="Q22"/>
      <c r="R22"/>
      <c r="S22"/>
      <c r="T22"/>
    </row>
    <row r="23" spans="1:20">
      <c r="A23" s="267" t="s">
        <v>152</v>
      </c>
      <c r="B23" s="768" t="s">
        <v>622</v>
      </c>
      <c r="C23" s="153" t="str">
        <f>'RFPR cover'!$C$14</f>
        <v>£m 12/13</v>
      </c>
      <c r="D23" s="582">
        <v>0</v>
      </c>
      <c r="E23" s="583">
        <v>0</v>
      </c>
      <c r="F23" s="583">
        <v>-0.54379581414955358</v>
      </c>
      <c r="G23" s="583">
        <v>-0.14530976513400659</v>
      </c>
      <c r="H23" s="583">
        <v>-1.256397810151316</v>
      </c>
      <c r="I23" s="583">
        <v>0.69569554917636012</v>
      </c>
      <c r="J23" s="583">
        <v>0.68365087798296731</v>
      </c>
      <c r="K23" s="583">
        <v>0.5661569622755489</v>
      </c>
      <c r="L23" s="584">
        <f>SUM(D23:INDEX(D23:K23,0,MATCH('RFPR cover'!$C$7,$D$6:$K$6,0)))</f>
        <v>-1.9455033894348763</v>
      </c>
      <c r="M23" s="585">
        <f t="shared" si="4"/>
        <v>0</v>
      </c>
      <c r="N23" s="570" t="s">
        <v>628</v>
      </c>
      <c r="O23"/>
      <c r="P23"/>
      <c r="Q23"/>
      <c r="R23"/>
      <c r="S23"/>
      <c r="T23"/>
    </row>
    <row r="24" spans="1:20">
      <c r="A24" s="267" t="s">
        <v>153</v>
      </c>
      <c r="B24" s="768" t="s">
        <v>634</v>
      </c>
      <c r="C24" s="153" t="str">
        <f>'RFPR cover'!$C$14</f>
        <v>£m 12/13</v>
      </c>
      <c r="D24" s="582">
        <v>0</v>
      </c>
      <c r="E24" s="583">
        <v>0</v>
      </c>
      <c r="F24" s="583">
        <v>0</v>
      </c>
      <c r="G24" s="583">
        <v>0</v>
      </c>
      <c r="H24" s="583">
        <v>-0.64466130082382189</v>
      </c>
      <c r="I24" s="583">
        <v>-0.50702226863144761</v>
      </c>
      <c r="J24" s="583">
        <v>3.3877980115399997</v>
      </c>
      <c r="K24" s="583">
        <v>2.6370399717100002</v>
      </c>
      <c r="L24" s="584">
        <f>SUM(D24:INDEX(D24:K24,0,MATCH('RFPR cover'!$C$7,$D$6:$K$6,0)))</f>
        <v>-0.64466130082382189</v>
      </c>
      <c r="M24" s="585">
        <f t="shared" si="4"/>
        <v>4.8731544137947305</v>
      </c>
      <c r="N24" s="570" t="s">
        <v>628</v>
      </c>
      <c r="O24"/>
      <c r="P24"/>
      <c r="Q24"/>
      <c r="R24"/>
      <c r="S24" s="65"/>
      <c r="T24"/>
    </row>
    <row r="25" spans="1:20">
      <c r="A25" s="267" t="s">
        <v>168</v>
      </c>
      <c r="B25" s="768" t="s">
        <v>242</v>
      </c>
      <c r="C25" s="153" t="str">
        <f>'RFPR cover'!$C$14</f>
        <v>£m 12/13</v>
      </c>
      <c r="D25" s="582">
        <v>0</v>
      </c>
      <c r="E25" s="583">
        <v>0</v>
      </c>
      <c r="F25" s="583">
        <v>0</v>
      </c>
      <c r="G25" s="583">
        <v>0</v>
      </c>
      <c r="H25" s="583"/>
      <c r="I25" s="583"/>
      <c r="J25" s="583"/>
      <c r="K25" s="583"/>
      <c r="L25" s="584">
        <f>SUM(D25:INDEX(D25:K25,0,MATCH('RFPR cover'!$C$7,$D$6:$K$6,0)))</f>
        <v>0</v>
      </c>
      <c r="M25" s="585">
        <f t="shared" si="4"/>
        <v>0</v>
      </c>
      <c r="N25" s="570"/>
      <c r="O25"/>
      <c r="P25"/>
      <c r="Q25"/>
      <c r="R25"/>
      <c r="S25"/>
      <c r="T25"/>
    </row>
    <row r="26" spans="1:20">
      <c r="A26" s="267" t="s">
        <v>169</v>
      </c>
      <c r="B26" s="768" t="s">
        <v>242</v>
      </c>
      <c r="C26" s="153" t="str">
        <f>'RFPR cover'!$C$14</f>
        <v>£m 12/13</v>
      </c>
      <c r="D26" s="582">
        <v>0</v>
      </c>
      <c r="E26" s="583">
        <v>0</v>
      </c>
      <c r="F26" s="583">
        <v>0</v>
      </c>
      <c r="G26" s="583">
        <v>0</v>
      </c>
      <c r="H26" s="583"/>
      <c r="I26" s="583"/>
      <c r="J26" s="583"/>
      <c r="K26" s="583"/>
      <c r="L26" s="584">
        <f>SUM(D26:INDEX(D26:K26,0,MATCH('RFPR cover'!$C$7,$D$6:$K$6,0)))</f>
        <v>0</v>
      </c>
      <c r="M26" s="585">
        <f t="shared" si="4"/>
        <v>0</v>
      </c>
      <c r="N26" s="570"/>
      <c r="O26"/>
      <c r="P26"/>
      <c r="Q26"/>
      <c r="R26"/>
      <c r="S26"/>
      <c r="T26"/>
    </row>
    <row r="27" spans="1:20">
      <c r="A27" s="267" t="s">
        <v>170</v>
      </c>
      <c r="B27" s="768" t="s">
        <v>242</v>
      </c>
      <c r="C27" s="153" t="str">
        <f>'RFPR cover'!$C$14</f>
        <v>£m 12/13</v>
      </c>
      <c r="D27" s="586">
        <v>0</v>
      </c>
      <c r="E27" s="587">
        <v>0</v>
      </c>
      <c r="F27" s="587">
        <v>0</v>
      </c>
      <c r="G27" s="587">
        <v>0</v>
      </c>
      <c r="H27" s="587"/>
      <c r="I27" s="587"/>
      <c r="J27" s="587"/>
      <c r="K27" s="587"/>
      <c r="L27" s="588">
        <f>SUM(D27:INDEX(D27:K27,0,MATCH('RFPR cover'!$C$7,$D$6:$K$6,0)))</f>
        <v>0</v>
      </c>
      <c r="M27" s="589">
        <f t="shared" si="4"/>
        <v>0</v>
      </c>
      <c r="N27" s="571"/>
      <c r="O27"/>
      <c r="P27"/>
      <c r="Q27"/>
      <c r="R27"/>
      <c r="S27"/>
      <c r="T27"/>
    </row>
    <row r="28" spans="1:20">
      <c r="A28" s="35"/>
      <c r="B28" s="778" t="s">
        <v>190</v>
      </c>
      <c r="C28" s="153" t="str">
        <f>'RFPR cover'!$C$14</f>
        <v>£m 12/13</v>
      </c>
      <c r="D28" s="100">
        <f>SUM(D22:D27)</f>
        <v>0</v>
      </c>
      <c r="E28" s="101">
        <f t="shared" ref="E28:K28" si="5">SUM(E22:E27)</f>
        <v>13.469733518085491</v>
      </c>
      <c r="F28" s="101">
        <f t="shared" si="5"/>
        <v>-13.280379341922673</v>
      </c>
      <c r="G28" s="101">
        <f t="shared" si="5"/>
        <v>-0.38527093803225776</v>
      </c>
      <c r="H28" s="101">
        <f t="shared" si="5"/>
        <v>-1.901059110975138</v>
      </c>
      <c r="I28" s="101">
        <f t="shared" si="5"/>
        <v>0.1886732805449125</v>
      </c>
      <c r="J28" s="101">
        <f t="shared" si="5"/>
        <v>4.0714488895229675</v>
      </c>
      <c r="K28" s="101">
        <f t="shared" si="5"/>
        <v>3.2031969339855491</v>
      </c>
      <c r="L28" s="100">
        <f>SUM(D28:INDEX(D28:K28,0,MATCH('RFPR cover'!$C$7,$D$6:$K$6,0)))</f>
        <v>-2.0969758728445784</v>
      </c>
      <c r="M28" s="102">
        <f>SUM(D28:K28)</f>
        <v>5.3663432312088499</v>
      </c>
      <c r="N28" s="63"/>
    </row>
    <row r="29" spans="1:20">
      <c r="A29" s="35"/>
      <c r="B29" s="770"/>
    </row>
    <row r="30" spans="1:20">
      <c r="A30" s="35"/>
      <c r="B30" s="777" t="s">
        <v>198</v>
      </c>
      <c r="C30" s="157" t="str">
        <f>'RFPR cover'!$C$14</f>
        <v>£m 12/13</v>
      </c>
      <c r="D30" s="93">
        <f t="shared" ref="D30:K30" si="6">D28*D16</f>
        <v>0</v>
      </c>
      <c r="E30" s="94">
        <f t="shared" si="6"/>
        <v>4.0409200554256479</v>
      </c>
      <c r="F30" s="94">
        <f t="shared" si="6"/>
        <v>-3.9841138025768026</v>
      </c>
      <c r="G30" s="94">
        <f t="shared" si="6"/>
        <v>-0.11558128140967734</v>
      </c>
      <c r="H30" s="94">
        <f t="shared" si="6"/>
        <v>-0.57031773329254154</v>
      </c>
      <c r="I30" s="94">
        <f t="shared" si="6"/>
        <v>5.6601984163473756E-2</v>
      </c>
      <c r="J30" s="94">
        <f t="shared" si="6"/>
        <v>1.2214346668568905</v>
      </c>
      <c r="K30" s="94">
        <f t="shared" si="6"/>
        <v>0.96095908019566489</v>
      </c>
      <c r="L30" s="93">
        <f>SUM(D30:INDEX(D30:K30,0,MATCH('RFPR cover'!$C$7,$D$6:$K$6,0)))</f>
        <v>-0.62909276185337359</v>
      </c>
      <c r="M30" s="95">
        <f>SUM(D30:K30)</f>
        <v>1.6099029693626554</v>
      </c>
    </row>
    <row r="31" spans="1:20">
      <c r="A31" s="35"/>
      <c r="B31" s="777" t="s">
        <v>309</v>
      </c>
      <c r="C31" s="157" t="str">
        <f>'RFPR cover'!$C$14</f>
        <v>£m 12/13</v>
      </c>
      <c r="D31" s="90">
        <f t="shared" ref="D31:K31" si="7">D28*(1-D16)</f>
        <v>0</v>
      </c>
      <c r="E31" s="91">
        <f t="shared" si="7"/>
        <v>9.4288134626598428</v>
      </c>
      <c r="F31" s="91">
        <f t="shared" si="7"/>
        <v>-9.2962655393458711</v>
      </c>
      <c r="G31" s="91">
        <f t="shared" si="7"/>
        <v>-0.26968965662258043</v>
      </c>
      <c r="H31" s="91">
        <f t="shared" si="7"/>
        <v>-1.3307413776825965</v>
      </c>
      <c r="I31" s="91">
        <f t="shared" si="7"/>
        <v>0.13207129638143875</v>
      </c>
      <c r="J31" s="91">
        <f t="shared" si="7"/>
        <v>2.850014222666077</v>
      </c>
      <c r="K31" s="91">
        <f t="shared" si="7"/>
        <v>2.2422378537898844</v>
      </c>
      <c r="L31" s="90">
        <f>SUM(D31:INDEX(D31:K31,0,MATCH('RFPR cover'!$C$7,$D$6:$K$6,0)))</f>
        <v>-1.4678831109912052</v>
      </c>
      <c r="M31" s="92">
        <f>SUM(D31:K31)</f>
        <v>3.756440261846195</v>
      </c>
    </row>
    <row r="32" spans="1:20">
      <c r="A32" s="35"/>
      <c r="B32" s="770"/>
    </row>
    <row r="33" spans="1:20">
      <c r="A33" s="35"/>
      <c r="B33" s="778" t="s">
        <v>181</v>
      </c>
    </row>
    <row r="34" spans="1:20">
      <c r="A34" s="35"/>
      <c r="B34" s="770" t="s">
        <v>180</v>
      </c>
      <c r="C34" s="153" t="str">
        <f>'RFPR cover'!$C$14</f>
        <v>£m 12/13</v>
      </c>
      <c r="D34" s="93">
        <f>D18+D30</f>
        <v>-10.097026471443662</v>
      </c>
      <c r="E34" s="94">
        <f t="shared" ref="E34:K34" si="8">E18+E30</f>
        <v>-6.4103235175247342</v>
      </c>
      <c r="F34" s="94">
        <f t="shared" si="8"/>
        <v>-3.1841171386338507</v>
      </c>
      <c r="G34" s="94">
        <f t="shared" si="8"/>
        <v>9.2637074114415956</v>
      </c>
      <c r="H34" s="94">
        <f t="shared" si="8"/>
        <v>11.158452294514788</v>
      </c>
      <c r="I34" s="94">
        <f t="shared" si="8"/>
        <v>4.5235022854656357</v>
      </c>
      <c r="J34" s="94">
        <f t="shared" si="8"/>
        <v>-7.5577746347763437</v>
      </c>
      <c r="K34" s="94">
        <f t="shared" si="8"/>
        <v>-7.8507155999532534</v>
      </c>
      <c r="L34" s="93">
        <f>SUM(D34:INDEX(D34:K34,0,MATCH('RFPR cover'!$C$7,$D$6:$K$6,0)))</f>
        <v>0.73069257835413559</v>
      </c>
      <c r="M34" s="95">
        <f>SUM(D34:K34)</f>
        <v>-10.154295370909825</v>
      </c>
    </row>
    <row r="35" spans="1:20">
      <c r="A35" s="35"/>
      <c r="B35" s="770" t="s">
        <v>280</v>
      </c>
      <c r="C35" s="153" t="str">
        <f>'RFPR cover'!$C$14</f>
        <v>£m 12/13</v>
      </c>
      <c r="D35" s="96">
        <f>D19+D31</f>
        <v>-23.559728433368541</v>
      </c>
      <c r="E35" s="97">
        <f t="shared" ref="E35:K35" si="9">E19+E31</f>
        <v>-14.957421540891044</v>
      </c>
      <c r="F35" s="97">
        <f t="shared" si="9"/>
        <v>-7.4296066568123171</v>
      </c>
      <c r="G35" s="97">
        <f t="shared" si="9"/>
        <v>21.615317293363713</v>
      </c>
      <c r="H35" s="97">
        <f t="shared" si="9"/>
        <v>26.036388687201171</v>
      </c>
      <c r="I35" s="97">
        <f t="shared" si="9"/>
        <v>10.55483866608648</v>
      </c>
      <c r="J35" s="97">
        <f t="shared" si="9"/>
        <v>-17.634807481144801</v>
      </c>
      <c r="K35" s="97">
        <f t="shared" si="9"/>
        <v>-18.318336399890921</v>
      </c>
      <c r="L35" s="96">
        <f>SUM(D35:INDEX(D35:K35,0,MATCH('RFPR cover'!$C$7,$D$6:$K$6,0)))</f>
        <v>1.7049493494929848</v>
      </c>
      <c r="M35" s="98">
        <f>SUM(D35:K35)</f>
        <v>-23.693355865456255</v>
      </c>
    </row>
    <row r="36" spans="1:20">
      <c r="A36" s="35"/>
      <c r="B36" s="778" t="s">
        <v>11</v>
      </c>
      <c r="C36" s="154" t="str">
        <f>'RFPR cover'!$C$14</f>
        <v>£m 12/13</v>
      </c>
      <c r="D36" s="137">
        <f>SUM(D34:D35)</f>
        <v>-33.656754904812203</v>
      </c>
      <c r="E36" s="138">
        <f t="shared" ref="E36:K36" si="10">SUM(E34:E35)</f>
        <v>-21.367745058415778</v>
      </c>
      <c r="F36" s="138">
        <f t="shared" si="10"/>
        <v>-10.613723795446168</v>
      </c>
      <c r="G36" s="138">
        <f t="shared" si="10"/>
        <v>30.87902470480531</v>
      </c>
      <c r="H36" s="138">
        <f t="shared" si="10"/>
        <v>37.194840981715956</v>
      </c>
      <c r="I36" s="138">
        <f t="shared" si="10"/>
        <v>15.078340951552116</v>
      </c>
      <c r="J36" s="138">
        <f t="shared" si="10"/>
        <v>-25.192582115921144</v>
      </c>
      <c r="K36" s="138">
        <f t="shared" si="10"/>
        <v>-26.169051999844175</v>
      </c>
      <c r="L36" s="137">
        <f>SUM(D36:INDEX(D36:K36,0,MATCH('RFPR cover'!$C$7,$D$6:$K$6,0)))</f>
        <v>2.4356419278471222</v>
      </c>
      <c r="M36" s="139">
        <f>SUM(D36:K36)</f>
        <v>-33.847651236366083</v>
      </c>
    </row>
    <row r="37" spans="1:20">
      <c r="A37" s="35"/>
      <c r="B37" s="770"/>
    </row>
    <row r="38" spans="1:20">
      <c r="A38" s="35"/>
      <c r="B38" s="773" t="str">
        <f>Data!B51</f>
        <v>n/a</v>
      </c>
      <c r="C38" s="148"/>
      <c r="D38" s="82"/>
      <c r="E38" s="82"/>
      <c r="F38" s="82"/>
      <c r="G38" s="82"/>
      <c r="H38" s="82"/>
      <c r="I38" s="82"/>
      <c r="J38" s="82"/>
      <c r="K38" s="82"/>
      <c r="L38" s="82"/>
      <c r="M38" s="82"/>
      <c r="N38" s="82"/>
    </row>
    <row r="39" spans="1:20" s="35" customFormat="1">
      <c r="B39" s="771"/>
      <c r="C39" s="136"/>
      <c r="D39" s="317"/>
      <c r="E39" s="317"/>
      <c r="F39" s="317"/>
      <c r="G39" s="317"/>
      <c r="H39" s="317"/>
      <c r="I39" s="317"/>
      <c r="J39" s="317"/>
      <c r="K39" s="317"/>
      <c r="L39" s="317"/>
      <c r="M39" s="317"/>
      <c r="N39" s="317"/>
    </row>
    <row r="40" spans="1:20">
      <c r="A40" s="35"/>
      <c r="B40" s="302" t="s">
        <v>34</v>
      </c>
      <c r="C40" s="153" t="str">
        <f>'RFPR cover'!$C$14</f>
        <v>£m 12/13</v>
      </c>
      <c r="D40" s="645"/>
      <c r="E40" s="646"/>
      <c r="F40" s="646"/>
      <c r="G40" s="646"/>
      <c r="H40" s="646"/>
      <c r="I40" s="646"/>
      <c r="J40" s="646"/>
      <c r="K40" s="646"/>
      <c r="L40" s="647">
        <f>SUM(D40:INDEX(D40:K40,0,MATCH('RFPR cover'!$C$7,$D$6:$K$6,0)))</f>
        <v>0</v>
      </c>
      <c r="M40" s="648">
        <f>SUM(D40:K40)</f>
        <v>0</v>
      </c>
      <c r="N40" s="348"/>
      <c r="O40" s="63"/>
    </row>
    <row r="41" spans="1:20" ht="25.2">
      <c r="A41" s="35"/>
      <c r="B41" s="775" t="s">
        <v>502</v>
      </c>
      <c r="C41" s="153" t="str">
        <f>'RFPR cover'!$C$14</f>
        <v>£m 12/13</v>
      </c>
      <c r="D41" s="649"/>
      <c r="E41" s="650"/>
      <c r="F41" s="650"/>
      <c r="G41" s="650"/>
      <c r="H41" s="650"/>
      <c r="I41" s="650"/>
      <c r="J41" s="650"/>
      <c r="K41" s="650"/>
      <c r="L41" s="651">
        <f>SUM(D41:INDEX(D41:K41,0,MATCH('RFPR cover'!$C$7,$D$6:$K$6,0)))</f>
        <v>0</v>
      </c>
      <c r="M41" s="652">
        <f>SUM(D41:K41)</f>
        <v>0</v>
      </c>
      <c r="N41" s="348"/>
      <c r="O41" s="63"/>
    </row>
    <row r="42" spans="1:20">
      <c r="A42" s="35"/>
      <c r="B42" s="776" t="s">
        <v>195</v>
      </c>
      <c r="C42" s="153" t="str">
        <f>'RFPR cover'!$C$14</f>
        <v>£m 12/13</v>
      </c>
      <c r="D42" s="100">
        <f>D41-D40</f>
        <v>0</v>
      </c>
      <c r="E42" s="101">
        <f t="shared" ref="E42:M42" si="11">E41-E40</f>
        <v>0</v>
      </c>
      <c r="F42" s="101">
        <f t="shared" si="11"/>
        <v>0</v>
      </c>
      <c r="G42" s="101">
        <f t="shared" si="11"/>
        <v>0</v>
      </c>
      <c r="H42" s="101">
        <f t="shared" si="11"/>
        <v>0</v>
      </c>
      <c r="I42" s="101">
        <f t="shared" si="11"/>
        <v>0</v>
      </c>
      <c r="J42" s="101">
        <f t="shared" si="11"/>
        <v>0</v>
      </c>
      <c r="K42" s="101">
        <f t="shared" si="11"/>
        <v>0</v>
      </c>
      <c r="L42" s="351">
        <f t="shared" si="11"/>
        <v>0</v>
      </c>
      <c r="M42" s="352">
        <f t="shared" si="11"/>
        <v>0</v>
      </c>
      <c r="N42" s="349"/>
      <c r="O42" s="1007"/>
      <c r="P42" s="1007"/>
      <c r="Q42" s="1007"/>
      <c r="R42"/>
      <c r="S42"/>
      <c r="T42"/>
    </row>
    <row r="43" spans="1:20" ht="13.2">
      <c r="A43" s="35"/>
      <c r="B43" s="776"/>
      <c r="C43" s="153"/>
      <c r="D43" s="59"/>
      <c r="E43" s="59"/>
      <c r="F43" s="59"/>
      <c r="G43" s="59"/>
      <c r="H43" s="59"/>
      <c r="I43" s="59"/>
      <c r="J43" s="59"/>
      <c r="K43" s="59"/>
      <c r="L43" s="59"/>
      <c r="M43" s="59"/>
      <c r="N43" s="345"/>
      <c r="O43" s="64"/>
      <c r="P43" s="64"/>
      <c r="Q43" s="64"/>
      <c r="R43"/>
      <c r="S43"/>
      <c r="T43"/>
    </row>
    <row r="44" spans="1:20">
      <c r="A44" s="35"/>
      <c r="B44" s="770" t="s">
        <v>178</v>
      </c>
      <c r="C44" s="134" t="s">
        <v>7</v>
      </c>
      <c r="D44" s="107">
        <f>1-INDEX(Data!$D$73:$D$100,MATCH('RFPR cover'!$C$5,Data!$B$73:$B$100,0),0)</f>
        <v>0.30000000000000004</v>
      </c>
      <c r="E44" s="108">
        <f>1-INDEX(Data!$D$73:$D$100,MATCH('RFPR cover'!$C$5,Data!$B$73:$B$100,0),0)</f>
        <v>0.30000000000000004</v>
      </c>
      <c r="F44" s="108">
        <f>1-INDEX(Data!$D$73:$D$100,MATCH('RFPR cover'!$C$5,Data!$B$73:$B$100,0),0)</f>
        <v>0.30000000000000004</v>
      </c>
      <c r="G44" s="108">
        <f>1-INDEX(Data!$D$73:$D$100,MATCH('RFPR cover'!$C$5,Data!$B$73:$B$100,0),0)</f>
        <v>0.30000000000000004</v>
      </c>
      <c r="H44" s="108">
        <f>1-INDEX(Data!$D$73:$D$100,MATCH('RFPR cover'!$C$5,Data!$B$73:$B$100,0),0)</f>
        <v>0.30000000000000004</v>
      </c>
      <c r="I44" s="108">
        <f>1-INDEX(Data!$D$73:$D$100,MATCH('RFPR cover'!$C$5,Data!$B$73:$B$100,0),0)</f>
        <v>0.30000000000000004</v>
      </c>
      <c r="J44" s="108">
        <f>1-INDEX(Data!$D$73:$D$100,MATCH('RFPR cover'!$C$5,Data!$B$73:$B$100,0),0)</f>
        <v>0.30000000000000004</v>
      </c>
      <c r="K44" s="109">
        <f>1-INDEX(Data!$D$73:$D$100,MATCH('RFPR cover'!$C$5,Data!$B$73:$B$100,0),0)</f>
        <v>0.30000000000000004</v>
      </c>
      <c r="L44" s="62"/>
      <c r="M44" s="62"/>
      <c r="N44" s="346"/>
      <c r="O44"/>
      <c r="P44"/>
      <c r="Q44"/>
      <c r="R44"/>
      <c r="S44"/>
      <c r="T44"/>
    </row>
    <row r="45" spans="1:20">
      <c r="A45" s="35"/>
      <c r="B45" s="770"/>
      <c r="N45" s="347"/>
      <c r="O45"/>
      <c r="P45"/>
      <c r="Q45"/>
      <c r="R45"/>
      <c r="S45"/>
      <c r="T45"/>
    </row>
    <row r="46" spans="1:20">
      <c r="A46" s="35"/>
      <c r="B46" s="777" t="s">
        <v>183</v>
      </c>
      <c r="C46" s="157" t="str">
        <f>'RFPR cover'!$C$14</f>
        <v>£m 12/13</v>
      </c>
      <c r="D46" s="93">
        <f>D42*D44</f>
        <v>0</v>
      </c>
      <c r="E46" s="94">
        <f t="shared" ref="E46:K46" si="12">E42*E44</f>
        <v>0</v>
      </c>
      <c r="F46" s="94">
        <f t="shared" si="12"/>
        <v>0</v>
      </c>
      <c r="G46" s="94">
        <f t="shared" si="12"/>
        <v>0</v>
      </c>
      <c r="H46" s="94">
        <f t="shared" si="12"/>
        <v>0</v>
      </c>
      <c r="I46" s="94">
        <f t="shared" si="12"/>
        <v>0</v>
      </c>
      <c r="J46" s="94">
        <f t="shared" si="12"/>
        <v>0</v>
      </c>
      <c r="K46" s="94">
        <f t="shared" si="12"/>
        <v>0</v>
      </c>
      <c r="L46" s="353">
        <f>SUM(D46:INDEX(D46:K46,0,MATCH('RFPR cover'!$C$7,$D$6:$K$6,0)))</f>
        <v>0</v>
      </c>
      <c r="M46" s="572">
        <f>SUM(D46:K46)</f>
        <v>0</v>
      </c>
      <c r="N46" s="349"/>
      <c r="O46"/>
      <c r="P46"/>
      <c r="Q46"/>
      <c r="R46"/>
      <c r="S46"/>
      <c r="T46"/>
    </row>
    <row r="47" spans="1:20">
      <c r="A47" s="35"/>
      <c r="B47" s="777" t="s">
        <v>280</v>
      </c>
      <c r="C47" s="157" t="str">
        <f>'RFPR cover'!$C$14</f>
        <v>£m 12/13</v>
      </c>
      <c r="D47" s="574">
        <f>D42*(1-D44)</f>
        <v>0</v>
      </c>
      <c r="E47" s="575">
        <f t="shared" ref="E47:K47" si="13">E42*(1-E44)</f>
        <v>0</v>
      </c>
      <c r="F47" s="575">
        <f t="shared" si="13"/>
        <v>0</v>
      </c>
      <c r="G47" s="575">
        <f t="shared" si="13"/>
        <v>0</v>
      </c>
      <c r="H47" s="575">
        <f t="shared" si="13"/>
        <v>0</v>
      </c>
      <c r="I47" s="575">
        <f t="shared" si="13"/>
        <v>0</v>
      </c>
      <c r="J47" s="575">
        <f t="shared" si="13"/>
        <v>0</v>
      </c>
      <c r="K47" s="575">
        <f t="shared" si="13"/>
        <v>0</v>
      </c>
      <c r="L47" s="576">
        <f>SUM(D47:INDEX(D47:K47,0,MATCH('RFPR cover'!$C$7,$D$6:$K$6,0)))</f>
        <v>0</v>
      </c>
      <c r="M47" s="577">
        <f>SUM(D47:K47)</f>
        <v>0</v>
      </c>
      <c r="N47" s="349"/>
      <c r="O47"/>
      <c r="P47"/>
      <c r="Q47"/>
      <c r="R47"/>
      <c r="S47"/>
      <c r="T47"/>
    </row>
    <row r="48" spans="1:20">
      <c r="A48" s="35"/>
      <c r="B48" s="770"/>
      <c r="N48" s="347"/>
      <c r="O48"/>
      <c r="P48"/>
      <c r="Q48"/>
      <c r="R48"/>
      <c r="S48"/>
      <c r="T48"/>
    </row>
    <row r="49" spans="1:20">
      <c r="A49" s="35"/>
      <c r="B49" s="778" t="s">
        <v>182</v>
      </c>
      <c r="N49" s="347"/>
      <c r="O49"/>
      <c r="P49"/>
      <c r="Q49"/>
      <c r="R49"/>
      <c r="S49"/>
      <c r="T49"/>
    </row>
    <row r="50" spans="1:20">
      <c r="A50" s="267" t="s">
        <v>151</v>
      </c>
      <c r="B50" s="768" t="s">
        <v>242</v>
      </c>
      <c r="C50" s="153" t="str">
        <f>'RFPR cover'!$C$14</f>
        <v>£m 12/13</v>
      </c>
      <c r="D50" s="578"/>
      <c r="E50" s="579"/>
      <c r="F50" s="579"/>
      <c r="G50" s="579"/>
      <c r="H50" s="579"/>
      <c r="I50" s="579"/>
      <c r="J50" s="579"/>
      <c r="K50" s="579"/>
      <c r="L50" s="653">
        <f>SUM(D50:INDEX(D50:K50,0,MATCH('RFPR cover'!$C$7,$D$6:$K$6,0)))</f>
        <v>0</v>
      </c>
      <c r="M50" s="654">
        <f t="shared" ref="M50:M56" si="14">SUM(D50:K50)</f>
        <v>0</v>
      </c>
      <c r="N50" s="569"/>
      <c r="O50"/>
      <c r="P50"/>
      <c r="Q50"/>
      <c r="R50"/>
      <c r="S50"/>
      <c r="T50"/>
    </row>
    <row r="51" spans="1:20">
      <c r="A51" s="267" t="s">
        <v>152</v>
      </c>
      <c r="B51" s="768" t="s">
        <v>242</v>
      </c>
      <c r="C51" s="153" t="str">
        <f>'RFPR cover'!$C$14</f>
        <v>£m 12/13</v>
      </c>
      <c r="D51" s="582"/>
      <c r="E51" s="583"/>
      <c r="F51" s="583"/>
      <c r="G51" s="583"/>
      <c r="H51" s="583"/>
      <c r="I51" s="583"/>
      <c r="J51" s="583"/>
      <c r="K51" s="583"/>
      <c r="L51" s="655">
        <f>SUM(D51:INDEX(D51:K51,0,MATCH('RFPR cover'!$C$7,$D$6:$K$6,0)))</f>
        <v>0</v>
      </c>
      <c r="M51" s="656">
        <f t="shared" si="14"/>
        <v>0</v>
      </c>
      <c r="N51" s="570"/>
      <c r="O51"/>
      <c r="P51"/>
      <c r="Q51"/>
      <c r="R51"/>
      <c r="S51"/>
      <c r="T51"/>
    </row>
    <row r="52" spans="1:20">
      <c r="A52" s="267" t="s">
        <v>153</v>
      </c>
      <c r="B52" s="768" t="s">
        <v>242</v>
      </c>
      <c r="C52" s="153" t="str">
        <f>'RFPR cover'!$C$14</f>
        <v>£m 12/13</v>
      </c>
      <c r="D52" s="582"/>
      <c r="E52" s="583"/>
      <c r="F52" s="583"/>
      <c r="G52" s="583"/>
      <c r="H52" s="583"/>
      <c r="I52" s="583"/>
      <c r="J52" s="583"/>
      <c r="K52" s="583"/>
      <c r="L52" s="655">
        <f>SUM(D52:INDEX(D52:K52,0,MATCH('RFPR cover'!$C$7,$D$6:$K$6,0)))</f>
        <v>0</v>
      </c>
      <c r="M52" s="656">
        <f t="shared" si="14"/>
        <v>0</v>
      </c>
      <c r="N52" s="570"/>
      <c r="O52"/>
      <c r="P52"/>
      <c r="Q52"/>
      <c r="R52"/>
      <c r="S52" s="65"/>
      <c r="T52"/>
    </row>
    <row r="53" spans="1:20">
      <c r="A53" s="267" t="s">
        <v>168</v>
      </c>
      <c r="B53" s="768" t="s">
        <v>242</v>
      </c>
      <c r="C53" s="153" t="str">
        <f>'RFPR cover'!$C$14</f>
        <v>£m 12/13</v>
      </c>
      <c r="D53" s="582"/>
      <c r="E53" s="583"/>
      <c r="F53" s="583"/>
      <c r="G53" s="583"/>
      <c r="H53" s="583"/>
      <c r="I53" s="583"/>
      <c r="J53" s="583"/>
      <c r="K53" s="583"/>
      <c r="L53" s="655">
        <f>SUM(D53:INDEX(D53:K53,0,MATCH('RFPR cover'!$C$7,$D$6:$K$6,0)))</f>
        <v>0</v>
      </c>
      <c r="M53" s="656">
        <f t="shared" si="14"/>
        <v>0</v>
      </c>
      <c r="N53" s="570"/>
      <c r="O53"/>
      <c r="P53"/>
      <c r="Q53"/>
      <c r="R53"/>
      <c r="S53"/>
      <c r="T53"/>
    </row>
    <row r="54" spans="1:20">
      <c r="A54" s="267" t="s">
        <v>169</v>
      </c>
      <c r="B54" s="768" t="s">
        <v>242</v>
      </c>
      <c r="C54" s="153" t="str">
        <f>'RFPR cover'!$C$14</f>
        <v>£m 12/13</v>
      </c>
      <c r="D54" s="582"/>
      <c r="E54" s="583"/>
      <c r="F54" s="583"/>
      <c r="G54" s="583"/>
      <c r="H54" s="583"/>
      <c r="I54" s="583"/>
      <c r="J54" s="583"/>
      <c r="K54" s="583"/>
      <c r="L54" s="655">
        <f>SUM(D54:INDEX(D54:K54,0,MATCH('RFPR cover'!$C$7,$D$6:$K$6,0)))</f>
        <v>0</v>
      </c>
      <c r="M54" s="656">
        <f t="shared" si="14"/>
        <v>0</v>
      </c>
      <c r="N54" s="570"/>
      <c r="O54"/>
      <c r="P54"/>
      <c r="Q54"/>
      <c r="R54"/>
      <c r="S54"/>
      <c r="T54"/>
    </row>
    <row r="55" spans="1:20">
      <c r="A55" s="267" t="s">
        <v>170</v>
      </c>
      <c r="B55" s="768" t="s">
        <v>242</v>
      </c>
      <c r="C55" s="153" t="str">
        <f>'RFPR cover'!$C$14</f>
        <v>£m 12/13</v>
      </c>
      <c r="D55" s="586"/>
      <c r="E55" s="587"/>
      <c r="F55" s="587"/>
      <c r="G55" s="587"/>
      <c r="H55" s="587"/>
      <c r="I55" s="587"/>
      <c r="J55" s="587"/>
      <c r="K55" s="587"/>
      <c r="L55" s="657">
        <f>SUM(D55:INDEX(D55:K55,0,MATCH('RFPR cover'!$C$7,$D$6:$K$6,0)))</f>
        <v>0</v>
      </c>
      <c r="M55" s="658">
        <f t="shared" si="14"/>
        <v>0</v>
      </c>
      <c r="N55" s="571"/>
      <c r="O55"/>
      <c r="P55"/>
      <c r="Q55"/>
      <c r="R55"/>
      <c r="S55"/>
      <c r="T55"/>
    </row>
    <row r="56" spans="1:20">
      <c r="A56" s="35"/>
      <c r="B56" s="778" t="s">
        <v>190</v>
      </c>
      <c r="C56" s="153" t="str">
        <f>'RFPR cover'!$C$14</f>
        <v>£m 12/13</v>
      </c>
      <c r="D56" s="100">
        <f>SUM(D50:D55)</f>
        <v>0</v>
      </c>
      <c r="E56" s="101">
        <f t="shared" ref="E56:K56" si="15">SUM(E50:E55)</f>
        <v>0</v>
      </c>
      <c r="F56" s="101">
        <f t="shared" si="15"/>
        <v>0</v>
      </c>
      <c r="G56" s="101">
        <f t="shared" si="15"/>
        <v>0</v>
      </c>
      <c r="H56" s="101">
        <f t="shared" si="15"/>
        <v>0</v>
      </c>
      <c r="I56" s="101">
        <f t="shared" si="15"/>
        <v>0</v>
      </c>
      <c r="J56" s="101">
        <f t="shared" si="15"/>
        <v>0</v>
      </c>
      <c r="K56" s="101">
        <f t="shared" si="15"/>
        <v>0</v>
      </c>
      <c r="L56" s="351">
        <f>SUM(D56:INDEX(D56:K56,0,MATCH('RFPR cover'!$C$7,$D$6:$K$6,0)))</f>
        <v>0</v>
      </c>
      <c r="M56" s="352">
        <f t="shared" si="14"/>
        <v>0</v>
      </c>
      <c r="N56" s="349"/>
    </row>
    <row r="57" spans="1:20">
      <c r="A57" s="35"/>
      <c r="B57" s="770"/>
      <c r="N57" s="347"/>
    </row>
    <row r="58" spans="1:20">
      <c r="A58" s="35"/>
      <c r="B58" s="777" t="s">
        <v>198</v>
      </c>
      <c r="C58" s="157" t="str">
        <f>'RFPR cover'!$C$14</f>
        <v>£m 12/13</v>
      </c>
      <c r="D58" s="93">
        <f t="shared" ref="D58:K58" si="16">D56*D44</f>
        <v>0</v>
      </c>
      <c r="E58" s="94">
        <f t="shared" si="16"/>
        <v>0</v>
      </c>
      <c r="F58" s="94">
        <f t="shared" si="16"/>
        <v>0</v>
      </c>
      <c r="G58" s="94">
        <f t="shared" si="16"/>
        <v>0</v>
      </c>
      <c r="H58" s="94">
        <f t="shared" si="16"/>
        <v>0</v>
      </c>
      <c r="I58" s="94">
        <f t="shared" si="16"/>
        <v>0</v>
      </c>
      <c r="J58" s="94">
        <f t="shared" si="16"/>
        <v>0</v>
      </c>
      <c r="K58" s="94">
        <f t="shared" si="16"/>
        <v>0</v>
      </c>
      <c r="L58" s="353">
        <f>SUM(D58:INDEX(D58:K58,0,MATCH('RFPR cover'!$C$7,$D$6:$K$6,0)))</f>
        <v>0</v>
      </c>
      <c r="M58" s="572">
        <f>SUM(D58:K58)</f>
        <v>0</v>
      </c>
      <c r="N58" s="349"/>
    </row>
    <row r="59" spans="1:20">
      <c r="A59" s="35"/>
      <c r="B59" s="777" t="s">
        <v>309</v>
      </c>
      <c r="C59" s="157" t="str">
        <f>'RFPR cover'!$C$14</f>
        <v>£m 12/13</v>
      </c>
      <c r="D59" s="90">
        <f t="shared" ref="D59:K59" si="17">D56*(1-D44)</f>
        <v>0</v>
      </c>
      <c r="E59" s="91">
        <f t="shared" si="17"/>
        <v>0</v>
      </c>
      <c r="F59" s="91">
        <f t="shared" si="17"/>
        <v>0</v>
      </c>
      <c r="G59" s="91">
        <f t="shared" si="17"/>
        <v>0</v>
      </c>
      <c r="H59" s="91">
        <f t="shared" si="17"/>
        <v>0</v>
      </c>
      <c r="I59" s="91">
        <f t="shared" si="17"/>
        <v>0</v>
      </c>
      <c r="J59" s="91">
        <f t="shared" si="17"/>
        <v>0</v>
      </c>
      <c r="K59" s="91">
        <f t="shared" si="17"/>
        <v>0</v>
      </c>
      <c r="L59" s="354">
        <f>SUM(D59:INDEX(D59:K59,0,MATCH('RFPR cover'!$C$7,$D$6:$K$6,0)))</f>
        <v>0</v>
      </c>
      <c r="M59" s="573">
        <f>SUM(D59:K59)</f>
        <v>0</v>
      </c>
      <c r="N59" s="349"/>
    </row>
    <row r="60" spans="1:20">
      <c r="A60" s="35"/>
      <c r="B60" s="770"/>
      <c r="N60" s="347"/>
    </row>
    <row r="61" spans="1:20">
      <c r="A61" s="35"/>
      <c r="B61" s="778" t="s">
        <v>181</v>
      </c>
      <c r="N61" s="347"/>
    </row>
    <row r="62" spans="1:20">
      <c r="A62" s="35"/>
      <c r="B62" s="770" t="s">
        <v>180</v>
      </c>
      <c r="C62" s="153" t="str">
        <f>'RFPR cover'!$C$14</f>
        <v>£m 12/13</v>
      </c>
      <c r="D62" s="93">
        <f>D46+D58</f>
        <v>0</v>
      </c>
      <c r="E62" s="94">
        <f t="shared" ref="E62:K62" si="18">E46+E58</f>
        <v>0</v>
      </c>
      <c r="F62" s="94">
        <f t="shared" si="18"/>
        <v>0</v>
      </c>
      <c r="G62" s="94">
        <f t="shared" si="18"/>
        <v>0</v>
      </c>
      <c r="H62" s="94">
        <f t="shared" si="18"/>
        <v>0</v>
      </c>
      <c r="I62" s="94">
        <f t="shared" si="18"/>
        <v>0</v>
      </c>
      <c r="J62" s="94">
        <f t="shared" si="18"/>
        <v>0</v>
      </c>
      <c r="K62" s="94">
        <f t="shared" si="18"/>
        <v>0</v>
      </c>
      <c r="L62" s="353">
        <f>SUM(D62:INDEX(D62:K62,0,MATCH('RFPR cover'!$C$7,$D$6:$K$6,0)))</f>
        <v>0</v>
      </c>
      <c r="M62" s="572">
        <f>SUM(D62:K62)</f>
        <v>0</v>
      </c>
      <c r="N62" s="349"/>
    </row>
    <row r="63" spans="1:20">
      <c r="A63" s="35"/>
      <c r="B63" s="770" t="s">
        <v>280</v>
      </c>
      <c r="C63" s="153" t="str">
        <f>'RFPR cover'!$C$14</f>
        <v>£m 12/13</v>
      </c>
      <c r="D63" s="96">
        <f>D47+D59</f>
        <v>0</v>
      </c>
      <c r="E63" s="97">
        <f t="shared" ref="E63:K63" si="19">E47+E59</f>
        <v>0</v>
      </c>
      <c r="F63" s="97">
        <f t="shared" si="19"/>
        <v>0</v>
      </c>
      <c r="G63" s="97">
        <f t="shared" si="19"/>
        <v>0</v>
      </c>
      <c r="H63" s="97">
        <f t="shared" si="19"/>
        <v>0</v>
      </c>
      <c r="I63" s="97">
        <f t="shared" si="19"/>
        <v>0</v>
      </c>
      <c r="J63" s="97">
        <f t="shared" si="19"/>
        <v>0</v>
      </c>
      <c r="K63" s="97">
        <f t="shared" si="19"/>
        <v>0</v>
      </c>
      <c r="L63" s="355">
        <f>SUM(D63:INDEX(D63:K63,0,MATCH('RFPR cover'!$C$7,$D$6:$K$6,0)))</f>
        <v>0</v>
      </c>
      <c r="M63" s="573">
        <f>SUM(D63:K63)</f>
        <v>0</v>
      </c>
      <c r="N63" s="349"/>
    </row>
    <row r="64" spans="1:20">
      <c r="A64" s="35"/>
      <c r="B64" s="778" t="s">
        <v>11</v>
      </c>
      <c r="C64" s="154" t="str">
        <f>'RFPR cover'!$C$14</f>
        <v>£m 12/13</v>
      </c>
      <c r="D64" s="137">
        <f>SUM(D62:D63)</f>
        <v>0</v>
      </c>
      <c r="E64" s="138">
        <f t="shared" ref="E64:K64" si="20">SUM(E62:E63)</f>
        <v>0</v>
      </c>
      <c r="F64" s="138">
        <f t="shared" si="20"/>
        <v>0</v>
      </c>
      <c r="G64" s="138">
        <f t="shared" si="20"/>
        <v>0</v>
      </c>
      <c r="H64" s="138">
        <f t="shared" si="20"/>
        <v>0</v>
      </c>
      <c r="I64" s="138">
        <f t="shared" si="20"/>
        <v>0</v>
      </c>
      <c r="J64" s="138">
        <f t="shared" si="20"/>
        <v>0</v>
      </c>
      <c r="K64" s="138">
        <f t="shared" si="20"/>
        <v>0</v>
      </c>
      <c r="L64" s="356">
        <f>SUM(D64:INDEX(D64:K64,0,MATCH('RFPR cover'!$C$7,$D$6:$K$6,0)))</f>
        <v>0</v>
      </c>
      <c r="M64" s="357">
        <f>SUM(D64:K64)</f>
        <v>0</v>
      </c>
      <c r="N64" s="350"/>
    </row>
    <row r="65" spans="1:20">
      <c r="A65" s="35"/>
      <c r="B65" s="778"/>
      <c r="C65" s="154"/>
      <c r="D65" s="154"/>
      <c r="E65" s="154"/>
      <c r="F65" s="154"/>
      <c r="G65" s="154"/>
      <c r="H65" s="154"/>
      <c r="I65" s="154"/>
      <c r="J65" s="154"/>
      <c r="K65" s="154"/>
      <c r="L65" s="154"/>
      <c r="M65" s="154"/>
    </row>
    <row r="66" spans="1:20">
      <c r="A66" s="35"/>
      <c r="B66" s="773" t="s">
        <v>257</v>
      </c>
      <c r="C66" s="148"/>
      <c r="D66" s="82"/>
      <c r="E66" s="82"/>
      <c r="F66" s="82"/>
      <c r="G66" s="82"/>
      <c r="H66" s="82"/>
      <c r="I66" s="82"/>
      <c r="J66" s="82"/>
      <c r="K66" s="82"/>
      <c r="L66" s="82"/>
      <c r="M66" s="82"/>
      <c r="N66" s="82"/>
    </row>
    <row r="67" spans="1:20">
      <c r="A67" s="35"/>
      <c r="B67" s="770"/>
      <c r="O67"/>
      <c r="P67"/>
      <c r="Q67"/>
      <c r="R67"/>
      <c r="S67"/>
      <c r="T67"/>
    </row>
    <row r="68" spans="1:20">
      <c r="A68" s="35"/>
      <c r="B68" s="778" t="s">
        <v>181</v>
      </c>
    </row>
    <row r="69" spans="1:20">
      <c r="A69" s="35"/>
      <c r="B69" s="770" t="s">
        <v>180</v>
      </c>
      <c r="C69" s="153" t="str">
        <f>'RFPR cover'!$C$14</f>
        <v>£m 12/13</v>
      </c>
      <c r="D69" s="93">
        <f>D34+D62</f>
        <v>-10.097026471443662</v>
      </c>
      <c r="E69" s="94">
        <f t="shared" ref="E69:K69" si="21">E34+E62</f>
        <v>-6.4103235175247342</v>
      </c>
      <c r="F69" s="94">
        <f t="shared" si="21"/>
        <v>-3.1841171386338507</v>
      </c>
      <c r="G69" s="94">
        <f t="shared" si="21"/>
        <v>9.2637074114415956</v>
      </c>
      <c r="H69" s="94">
        <f t="shared" si="21"/>
        <v>11.158452294514788</v>
      </c>
      <c r="I69" s="94">
        <f t="shared" si="21"/>
        <v>4.5235022854656357</v>
      </c>
      <c r="J69" s="94">
        <f t="shared" si="21"/>
        <v>-7.5577746347763437</v>
      </c>
      <c r="K69" s="94">
        <f t="shared" si="21"/>
        <v>-7.8507155999532534</v>
      </c>
      <c r="L69" s="93">
        <f>SUM(D69:INDEX(D69:K69,0,MATCH('RFPR cover'!$C$7,$D$6:$K$6,0)))</f>
        <v>0.73069257835413559</v>
      </c>
      <c r="M69" s="95">
        <f>SUM(D69:K69)</f>
        <v>-10.154295370909825</v>
      </c>
    </row>
    <row r="70" spans="1:20">
      <c r="A70" s="35"/>
      <c r="B70" s="770" t="s">
        <v>280</v>
      </c>
      <c r="C70" s="153" t="str">
        <f>'RFPR cover'!$C$14</f>
        <v>£m 12/13</v>
      </c>
      <c r="D70" s="517">
        <f t="shared" ref="D70:K70" si="22">D35+D63</f>
        <v>-23.559728433368541</v>
      </c>
      <c r="E70" s="518">
        <f t="shared" si="22"/>
        <v>-14.957421540891044</v>
      </c>
      <c r="F70" s="518">
        <f t="shared" si="22"/>
        <v>-7.4296066568123171</v>
      </c>
      <c r="G70" s="518">
        <f t="shared" si="22"/>
        <v>21.615317293363713</v>
      </c>
      <c r="H70" s="518">
        <f t="shared" si="22"/>
        <v>26.036388687201171</v>
      </c>
      <c r="I70" s="518">
        <f t="shared" si="22"/>
        <v>10.55483866608648</v>
      </c>
      <c r="J70" s="518">
        <f t="shared" si="22"/>
        <v>-17.634807481144801</v>
      </c>
      <c r="K70" s="518">
        <f t="shared" si="22"/>
        <v>-18.318336399890921</v>
      </c>
      <c r="L70" s="517">
        <f>SUM(D70:INDEX(D70:K70,0,MATCH('RFPR cover'!$C$7,$D$6:$K$6,0)))</f>
        <v>1.7049493494929848</v>
      </c>
      <c r="M70" s="519">
        <f>SUM(D70:K70)</f>
        <v>-23.693355865456255</v>
      </c>
    </row>
    <row r="71" spans="1:20">
      <c r="A71" s="35"/>
      <c r="B71" s="778" t="s">
        <v>11</v>
      </c>
      <c r="C71" s="154" t="str">
        <f>'RFPR cover'!$C$14</f>
        <v>£m 12/13</v>
      </c>
      <c r="D71" s="143">
        <f>SUM(D69:D70)</f>
        <v>-33.656754904812203</v>
      </c>
      <c r="E71" s="144">
        <f t="shared" ref="E71:K71" si="23">SUM(E69:E70)</f>
        <v>-21.367745058415778</v>
      </c>
      <c r="F71" s="144">
        <f t="shared" si="23"/>
        <v>-10.613723795446168</v>
      </c>
      <c r="G71" s="144">
        <f t="shared" si="23"/>
        <v>30.87902470480531</v>
      </c>
      <c r="H71" s="144">
        <f t="shared" si="23"/>
        <v>37.194840981715956</v>
      </c>
      <c r="I71" s="144">
        <f t="shared" si="23"/>
        <v>15.078340951552116</v>
      </c>
      <c r="J71" s="144">
        <f t="shared" si="23"/>
        <v>-25.192582115921144</v>
      </c>
      <c r="K71" s="144">
        <f t="shared" si="23"/>
        <v>-26.169051999844175</v>
      </c>
      <c r="L71" s="143">
        <f>SUM(D71:INDEX(D71:K71,0,MATCH('RFPR cover'!$C$7,$D$6:$K$6,0)))</f>
        <v>2.4356419278471222</v>
      </c>
      <c r="M71" s="145">
        <f>SUM(D71:K71)</f>
        <v>-33.847651236366083</v>
      </c>
    </row>
    <row r="72" spans="1:20">
      <c r="A72" s="35"/>
      <c r="B72" s="778"/>
      <c r="C72" s="154"/>
      <c r="D72" s="154"/>
      <c r="E72" s="154"/>
      <c r="F72" s="154"/>
      <c r="G72" s="154"/>
      <c r="H72" s="154"/>
      <c r="I72" s="154"/>
      <c r="J72" s="154"/>
      <c r="K72" s="154"/>
      <c r="L72" s="154"/>
      <c r="M72" s="154"/>
    </row>
    <row r="73" spans="1:20">
      <c r="A73" s="35"/>
      <c r="B73" s="770"/>
    </row>
    <row r="74" spans="1:20">
      <c r="A74" s="35"/>
      <c r="B74" s="773" t="s">
        <v>214</v>
      </c>
      <c r="C74" s="148"/>
      <c r="D74" s="81"/>
      <c r="E74" s="81"/>
      <c r="F74" s="81"/>
      <c r="G74" s="81"/>
      <c r="H74" s="81"/>
      <c r="I74" s="81"/>
      <c r="J74" s="81"/>
      <c r="K74" s="81"/>
      <c r="L74" s="81"/>
      <c r="M74" s="81"/>
      <c r="N74" s="81"/>
    </row>
    <row r="75" spans="1:20">
      <c r="A75" s="35"/>
      <c r="B75" s="364" t="s">
        <v>213</v>
      </c>
      <c r="C75" s="363"/>
      <c r="D75" s="363"/>
      <c r="E75" s="363"/>
      <c r="F75" s="363"/>
      <c r="G75" s="363"/>
      <c r="H75" s="363"/>
      <c r="I75" s="363"/>
      <c r="J75" s="363"/>
      <c r="K75" s="363"/>
      <c r="L75" s="363"/>
      <c r="M75" s="363"/>
      <c r="N75" s="363"/>
    </row>
    <row r="76" spans="1:20" s="35" customFormat="1">
      <c r="B76" s="424"/>
      <c r="C76" s="368"/>
      <c r="D76" s="368"/>
      <c r="E76" s="368"/>
      <c r="F76" s="368"/>
      <c r="G76" s="368"/>
      <c r="H76" s="368"/>
      <c r="I76" s="368"/>
      <c r="J76" s="368"/>
      <c r="K76" s="368"/>
      <c r="L76" s="368"/>
      <c r="M76" s="368"/>
      <c r="N76" s="368"/>
    </row>
    <row r="77" spans="1:20">
      <c r="A77" s="35"/>
      <c r="B77" s="777" t="s">
        <v>217</v>
      </c>
      <c r="C77" s="153" t="str">
        <f>'RFPR cover'!$C$14</f>
        <v>£m 12/13</v>
      </c>
      <c r="D77" s="659">
        <f>INDEX(Data!$C$119:$L$146,MATCH('RFPR cover'!$C$5,Data!$B$119:$B$146,0),MATCH('R4 - Totex'!D$6,Data!$C$118:$L$118,0))</f>
        <v>6.5079014730517413</v>
      </c>
      <c r="E77" s="660">
        <f>INDEX(Data!$C$119:$L$146,MATCH('RFPR cover'!$C$5,Data!$B$119:$B$146,0),MATCH('R4 - Totex'!E$6,Data!$C$118:$L$118,0))</f>
        <v>6.5166167406950333</v>
      </c>
      <c r="F77" s="660">
        <f>INDEX(Data!$C$119:$L$146,MATCH('RFPR cover'!$C$5,Data!$B$119:$B$146,0),MATCH('R4 - Totex'!F$6,Data!$C$118:$L$118,0))</f>
        <v>6.3292456496722922</v>
      </c>
      <c r="G77" s="660">
        <f>INDEX(Data!$C$119:$L$146,MATCH('RFPR cover'!$C$5,Data!$B$119:$B$146,0),MATCH('R4 - Totex'!G$6,Data!$C$118:$L$118,0))</f>
        <v>6.4407397408462082</v>
      </c>
      <c r="H77" s="660">
        <f>INDEX(Data!$C$119:$L$146,MATCH('RFPR cover'!$C$5,Data!$B$119:$B$146,0),MATCH('R4 - Totex'!H$6,Data!$C$118:$L$118,0))</f>
        <v>6.6367331985058957</v>
      </c>
      <c r="I77" s="660">
        <f>INDEX(Data!$C$119:$L$146,MATCH('RFPR cover'!$C$5,Data!$B$119:$B$146,0),MATCH('R4 - Totex'!I$6,Data!$C$118:$L$118,0))</f>
        <v>6.7568163761394304</v>
      </c>
      <c r="J77" s="660">
        <f>INDEX(Data!$C$119:$L$146,MATCH('RFPR cover'!$C$5,Data!$B$119:$B$146,0),MATCH('R4 - Totex'!J$6,Data!$C$118:$L$118,0))</f>
        <v>6.6961234445143969</v>
      </c>
      <c r="K77" s="661">
        <f>INDEX(Data!$C$119:$L$146,MATCH('RFPR cover'!$C$5,Data!$B$119:$B$146,0),MATCH('R4 - Totex'!K$6,Data!$C$118:$L$118,0))</f>
        <v>6.7647427548792596</v>
      </c>
      <c r="L77" s="96">
        <f>SUM(D77:INDEX(D77:K77,0,MATCH('RFPR cover'!$C$7,$D$6:$K$6,0)))</f>
        <v>32.431236802771167</v>
      </c>
      <c r="M77" s="98">
        <f>SUM(D77:K77)</f>
        <v>52.648919378304257</v>
      </c>
    </row>
    <row r="78" spans="1:20">
      <c r="A78" s="35"/>
      <c r="B78" s="223" t="s">
        <v>201</v>
      </c>
      <c r="C78" s="153" t="s">
        <v>7</v>
      </c>
      <c r="D78" s="878">
        <f>IF(INDEX(Data!$J$73:$J$100,MATCH('RFPR cover'!$C$5,Data!$B$73:$B$100,0),0)="Pre",INDEX(Data!$G$18:$G$27,MATCH('R4 - Totex'!D$6,Data!$C$18:$C$27,0),0),"n/a")</f>
        <v>0.2</v>
      </c>
      <c r="E78" s="878">
        <f>IF(INDEX(Data!$J$73:$J$100,MATCH('RFPR cover'!$C$5,Data!$B$73:$B$100,0),0)="Pre",INDEX(Data!$G$18:$G$27,MATCH('R4 - Totex'!E$6,Data!$C$18:$C$27,0),0),"n/a")</f>
        <v>0.2</v>
      </c>
      <c r="F78" s="878">
        <f>IF(INDEX(Data!$J$73:$J$100,MATCH('RFPR cover'!$C$5,Data!$B$73:$B$100,0),0)="Pre",INDEX(Data!$G$18:$G$27,MATCH('R4 - Totex'!F$6,Data!$C$18:$C$27,0),0),"n/a")</f>
        <v>0.19</v>
      </c>
      <c r="G78" s="878">
        <f>IF(INDEX(Data!$J$73:$J$100,MATCH('RFPR cover'!$C$5,Data!$B$73:$B$100,0),0)="Pre",INDEX(Data!$G$18:$G$27,MATCH('R4 - Totex'!G$6,Data!$C$18:$C$27,0),0),"n/a")</f>
        <v>0.19</v>
      </c>
      <c r="H78" s="878">
        <f>IF(INDEX(Data!$J$73:$J$100,MATCH('RFPR cover'!$C$5,Data!$B$73:$B$100,0),0)="Pre",INDEX(Data!$G$18:$G$27,MATCH('R4 - Totex'!H$6,Data!$C$18:$C$27,0),0),"n/a")</f>
        <v>0.19</v>
      </c>
      <c r="I78" s="878">
        <f>IF(INDEX(Data!$J$73:$J$100,MATCH('RFPR cover'!$C$5,Data!$B$73:$B$100,0),0)="Pre",INDEX(Data!$G$18:$G$27,MATCH('R4 - Totex'!I$6,Data!$C$18:$C$27,0),0),"n/a")</f>
        <v>0.19</v>
      </c>
      <c r="J78" s="878">
        <f>IF(INDEX(Data!$J$73:$J$100,MATCH('RFPR cover'!$C$5,Data!$B$73:$B$100,0),0)="Pre",INDEX(Data!$G$18:$G$27,MATCH('R4 - Totex'!J$6,Data!$C$18:$C$27,0),0),"n/a")</f>
        <v>0.19</v>
      </c>
      <c r="K78" s="878">
        <f>IF(INDEX(Data!$J$73:$J$100,MATCH('RFPR cover'!$C$5,Data!$B$73:$B$100,0),0)="Pre",INDEX(Data!$G$18:$G$27,MATCH('R4 - Totex'!K$6,Data!$C$18:$C$27,0),0),"n/a")</f>
        <v>0.19</v>
      </c>
      <c r="L78" s="876"/>
      <c r="M78" s="877"/>
    </row>
    <row r="79" spans="1:20">
      <c r="A79" s="35"/>
      <c r="B79" s="223" t="s">
        <v>210</v>
      </c>
      <c r="C79" s="153" t="str">
        <f>'RFPR cover'!$C$14</f>
        <v>£m 12/13</v>
      </c>
      <c r="D79" s="606">
        <f>IF(ISNUMBER(D78),D77*(1-D78),D77)</f>
        <v>5.2063211784413932</v>
      </c>
      <c r="E79" s="607">
        <f t="shared" ref="E79:K79" si="24">IF(ISNUMBER(E78),E77*(1-E78),E77)</f>
        <v>5.213293392556027</v>
      </c>
      <c r="F79" s="607">
        <f t="shared" si="24"/>
        <v>5.1266889762345569</v>
      </c>
      <c r="G79" s="607">
        <f t="shared" si="24"/>
        <v>5.2169991900854287</v>
      </c>
      <c r="H79" s="607">
        <f t="shared" si="24"/>
        <v>5.3757538907897757</v>
      </c>
      <c r="I79" s="607">
        <f t="shared" si="24"/>
        <v>5.4730212646729388</v>
      </c>
      <c r="J79" s="607">
        <f t="shared" si="24"/>
        <v>5.4238599900566618</v>
      </c>
      <c r="K79" s="608">
        <f t="shared" si="24"/>
        <v>5.4794416314522003</v>
      </c>
      <c r="L79" s="665">
        <f>SUM(D79:INDEX(D79:K79,0,MATCH('RFPR cover'!$C$7,$D$6:$K$6,0)))</f>
        <v>26.139056628107184</v>
      </c>
      <c r="M79" s="666">
        <f>SUM(D79:K79)</f>
        <v>42.515379514288981</v>
      </c>
    </row>
    <row r="80" spans="1:20">
      <c r="A80" s="35"/>
      <c r="B80" s="223"/>
      <c r="C80" s="66"/>
      <c r="D80" s="280"/>
      <c r="E80" s="280"/>
      <c r="F80" s="280"/>
      <c r="G80" s="280"/>
      <c r="H80" s="280"/>
      <c r="I80" s="280"/>
      <c r="J80" s="280"/>
      <c r="K80" s="280"/>
      <c r="L80" s="281"/>
      <c r="M80" s="281"/>
    </row>
    <row r="81" spans="1:20">
      <c r="A81" s="35"/>
      <c r="B81" s="223"/>
      <c r="C81" s="66"/>
      <c r="D81" s="280"/>
      <c r="E81" s="280"/>
      <c r="F81" s="280"/>
      <c r="G81" s="280"/>
      <c r="H81" s="280"/>
      <c r="I81" s="280"/>
      <c r="J81" s="280"/>
      <c r="K81" s="280"/>
      <c r="L81" s="281"/>
      <c r="M81" s="281"/>
    </row>
    <row r="82" spans="1:20">
      <c r="A82" s="35"/>
      <c r="B82" s="223"/>
      <c r="C82" s="66"/>
      <c r="D82" s="280"/>
      <c r="E82" s="280"/>
      <c r="F82" s="280"/>
      <c r="G82" s="280"/>
      <c r="H82" s="280"/>
      <c r="I82" s="280"/>
      <c r="J82" s="280"/>
      <c r="K82" s="280"/>
      <c r="L82" s="281"/>
      <c r="M82" s="281"/>
    </row>
    <row r="83" spans="1:20">
      <c r="A83" s="35"/>
      <c r="B83" s="770"/>
    </row>
    <row r="84" spans="1:20">
      <c r="A84" s="35"/>
      <c r="B84" s="772" t="s">
        <v>187</v>
      </c>
      <c r="C84" s="288"/>
      <c r="D84" s="290"/>
      <c r="E84" s="290"/>
      <c r="F84" s="290"/>
      <c r="G84" s="290"/>
      <c r="H84" s="290"/>
      <c r="I84" s="290"/>
      <c r="J84" s="290"/>
      <c r="K84" s="290"/>
      <c r="L84" s="290"/>
      <c r="M84" s="290"/>
      <c r="N84" s="290"/>
    </row>
    <row r="85" spans="1:20">
      <c r="A85" s="35"/>
      <c r="B85" s="778"/>
    </row>
    <row r="86" spans="1:20">
      <c r="A86" s="35"/>
      <c r="B86" s="777" t="str">
        <f>Data!B34</f>
        <v>Financial Year Average RPI (RPIt)</v>
      </c>
      <c r="C86" s="134" t="s">
        <v>127</v>
      </c>
      <c r="D86" s="110">
        <f>Data!C$34</f>
        <v>1.0603167467048125</v>
      </c>
      <c r="E86" s="111">
        <f>Data!D$34</f>
        <v>1.0830366813119445</v>
      </c>
      <c r="F86" s="111">
        <f>Data!E$34</f>
        <v>1.1235639113109226</v>
      </c>
      <c r="G86" s="111">
        <f>Data!F$34</f>
        <v>1.1578951670583426</v>
      </c>
      <c r="H86" s="111">
        <f>Data!G$34</f>
        <v>1.1878696229692449</v>
      </c>
      <c r="I86" s="111">
        <f>Data!H$34</f>
        <v>1.2080634065597218</v>
      </c>
      <c r="J86" s="111">
        <f>Data!I$34</f>
        <v>1.2337347539491161</v>
      </c>
      <c r="K86" s="112">
        <f>Data!J$34</f>
        <v>1.2655034238633056</v>
      </c>
    </row>
    <row r="87" spans="1:20">
      <c r="A87" s="35"/>
      <c r="B87" s="777"/>
      <c r="D87" s="134"/>
      <c r="E87" s="134"/>
      <c r="F87" s="134"/>
      <c r="G87" s="134"/>
      <c r="H87" s="134"/>
      <c r="I87" s="134"/>
      <c r="J87" s="134"/>
      <c r="K87" s="134"/>
    </row>
    <row r="88" spans="1:20">
      <c r="A88" s="35"/>
      <c r="B88" s="773" t="str">
        <f>B10</f>
        <v>Totex</v>
      </c>
      <c r="C88" s="148"/>
      <c r="D88" s="82"/>
      <c r="E88" s="82"/>
      <c r="F88" s="82"/>
      <c r="G88" s="82"/>
      <c r="H88" s="82"/>
      <c r="I88" s="82"/>
      <c r="J88" s="82"/>
      <c r="K88" s="82"/>
      <c r="L88" s="82"/>
      <c r="M88" s="82"/>
      <c r="N88" s="82"/>
    </row>
    <row r="89" spans="1:20" s="35" customFormat="1">
      <c r="B89" s="774"/>
      <c r="C89" s="136"/>
      <c r="D89" s="317"/>
      <c r="E89" s="317"/>
      <c r="F89" s="317"/>
      <c r="G89" s="317"/>
      <c r="H89" s="317"/>
      <c r="I89" s="317"/>
      <c r="J89" s="317"/>
      <c r="K89" s="317"/>
      <c r="L89" s="317"/>
      <c r="M89" s="317"/>
      <c r="N89" s="317"/>
    </row>
    <row r="90" spans="1:20">
      <c r="A90" s="35"/>
      <c r="B90" s="302" t="s">
        <v>34</v>
      </c>
      <c r="C90" s="153" t="s">
        <v>128</v>
      </c>
      <c r="D90" s="668">
        <f>D12*D$86</f>
        <v>311.83930000000009</v>
      </c>
      <c r="E90" s="668">
        <f t="shared" ref="D90:K91" si="25">E12*E$86</f>
        <v>320.78192468515078</v>
      </c>
      <c r="F90" s="668">
        <f t="shared" si="25"/>
        <v>281.29328839868271</v>
      </c>
      <c r="G90" s="668">
        <f t="shared" si="25"/>
        <v>262.04867302753399</v>
      </c>
      <c r="H90" s="668">
        <f t="shared" si="25"/>
        <v>268.90211838751844</v>
      </c>
      <c r="I90" s="668">
        <f t="shared" si="25"/>
        <v>300.70025533786691</v>
      </c>
      <c r="J90" s="668">
        <f t="shared" si="25"/>
        <v>358.56892917373727</v>
      </c>
      <c r="K90" s="668">
        <f t="shared" si="25"/>
        <v>371.41254814725113</v>
      </c>
      <c r="L90" s="667">
        <f>SUM(D90:INDEX(D90:K90,0,MATCH('RFPR cover'!$C$7,$D$6:$K$6,0)))</f>
        <v>1444.865304498886</v>
      </c>
      <c r="M90" s="668">
        <f>SUM(D90:K90)</f>
        <v>2475.5470371577412</v>
      </c>
      <c r="N90" s="63"/>
      <c r="O90" s="63"/>
    </row>
    <row r="91" spans="1:20" ht="25.2">
      <c r="A91" s="35"/>
      <c r="B91" s="775" t="s">
        <v>197</v>
      </c>
      <c r="C91" s="153" t="s">
        <v>128</v>
      </c>
      <c r="D91" s="668">
        <f t="shared" si="25"/>
        <v>276.15247913468835</v>
      </c>
      <c r="E91" s="668">
        <f t="shared" si="25"/>
        <v>283.05165750238086</v>
      </c>
      <c r="F91" s="668">
        <f t="shared" si="25"/>
        <v>284.28944633460083</v>
      </c>
      <c r="G91" s="668">
        <f t="shared" si="25"/>
        <v>298.24944985385883</v>
      </c>
      <c r="H91" s="668">
        <f t="shared" si="25"/>
        <v>315.34295049026667</v>
      </c>
      <c r="I91" s="668">
        <f t="shared" si="25"/>
        <v>318.68791798704603</v>
      </c>
      <c r="J91" s="668">
        <f t="shared" si="25"/>
        <v>322.46487708167638</v>
      </c>
      <c r="K91" s="668">
        <f t="shared" si="25"/>
        <v>334.24186655492429</v>
      </c>
      <c r="L91" s="669">
        <f>SUM(D91:INDEX(D91:K91,0,MATCH('RFPR cover'!$C$7,$D$6:$K$6,0)))</f>
        <v>1457.0859833157956</v>
      </c>
      <c r="M91" s="670">
        <f>SUM(D91:K91)</f>
        <v>2432.4806449394423</v>
      </c>
      <c r="N91" s="63"/>
      <c r="O91" s="63"/>
    </row>
    <row r="92" spans="1:20">
      <c r="A92" s="35"/>
      <c r="B92" s="776" t="s">
        <v>195</v>
      </c>
      <c r="C92" s="153" t="s">
        <v>128</v>
      </c>
      <c r="D92" s="100">
        <f>D91-D90</f>
        <v>-35.686820865311745</v>
      </c>
      <c r="E92" s="101">
        <f t="shared" ref="E92:M92" si="26">E91-E90</f>
        <v>-37.730267182769921</v>
      </c>
      <c r="F92" s="101">
        <f t="shared" si="26"/>
        <v>2.9961579359181201</v>
      </c>
      <c r="G92" s="101">
        <f t="shared" si="26"/>
        <v>36.200776826324841</v>
      </c>
      <c r="H92" s="101">
        <f t="shared" si="26"/>
        <v>46.440832102748232</v>
      </c>
      <c r="I92" s="101">
        <f t="shared" si="26"/>
        <v>17.987662649179128</v>
      </c>
      <c r="J92" s="101">
        <f t="shared" si="26"/>
        <v>-36.104052092060897</v>
      </c>
      <c r="K92" s="102">
        <f t="shared" si="26"/>
        <v>-37.170681592326844</v>
      </c>
      <c r="L92" s="100">
        <f t="shared" si="26"/>
        <v>12.22067881690964</v>
      </c>
      <c r="M92" s="102">
        <f t="shared" si="26"/>
        <v>-43.066392218298915</v>
      </c>
      <c r="N92" s="63"/>
      <c r="O92" s="1007"/>
      <c r="P92" s="1007"/>
      <c r="Q92" s="1007"/>
      <c r="R92"/>
      <c r="S92"/>
      <c r="T92"/>
    </row>
    <row r="93" spans="1:20" ht="13.2">
      <c r="A93" s="35"/>
      <c r="B93" s="776"/>
      <c r="C93" s="153"/>
      <c r="D93" s="59"/>
      <c r="E93" s="59"/>
      <c r="F93" s="59"/>
      <c r="G93" s="59"/>
      <c r="H93" s="59"/>
      <c r="I93" s="59"/>
      <c r="J93" s="59"/>
      <c r="K93" s="59"/>
      <c r="L93" s="59"/>
      <c r="M93" s="59"/>
      <c r="O93" s="64"/>
      <c r="P93" s="64"/>
      <c r="Q93" s="64"/>
      <c r="R93"/>
      <c r="S93"/>
      <c r="T93"/>
    </row>
    <row r="94" spans="1:20">
      <c r="A94" s="35"/>
      <c r="B94" s="770" t="s">
        <v>178</v>
      </c>
      <c r="C94" s="134" t="s">
        <v>7</v>
      </c>
      <c r="D94" s="107">
        <f>1-INDEX(Data!$D$73:$D$100,MATCH('RFPR cover'!$C$5,Data!$B$73:$B$100,0),0)</f>
        <v>0.30000000000000004</v>
      </c>
      <c r="E94" s="108">
        <f>1-INDEX(Data!$D$73:$D$100,MATCH('RFPR cover'!$C$5,Data!$B$73:$B$100,0),0)</f>
        <v>0.30000000000000004</v>
      </c>
      <c r="F94" s="108">
        <f>1-INDEX(Data!$D$73:$D$100,MATCH('RFPR cover'!$C$5,Data!$B$73:$B$100,0),0)</f>
        <v>0.30000000000000004</v>
      </c>
      <c r="G94" s="108">
        <f>1-INDEX(Data!$D$73:$D$100,MATCH('RFPR cover'!$C$5,Data!$B$73:$B$100,0),0)</f>
        <v>0.30000000000000004</v>
      </c>
      <c r="H94" s="108">
        <f>1-INDEX(Data!$D$73:$D$100,MATCH('RFPR cover'!$C$5,Data!$B$73:$B$100,0),0)</f>
        <v>0.30000000000000004</v>
      </c>
      <c r="I94" s="108">
        <f>1-INDEX(Data!$D$73:$D$100,MATCH('RFPR cover'!$C$5,Data!$B$73:$B$100,0),0)</f>
        <v>0.30000000000000004</v>
      </c>
      <c r="J94" s="108">
        <f>1-INDEX(Data!$D$73:$D$100,MATCH('RFPR cover'!$C$5,Data!$B$73:$B$100,0),0)</f>
        <v>0.30000000000000004</v>
      </c>
      <c r="K94" s="109">
        <f>1-INDEX(Data!$D$73:$D$100,MATCH('RFPR cover'!$C$5,Data!$B$73:$B$100,0),0)</f>
        <v>0.30000000000000004</v>
      </c>
      <c r="L94" s="62"/>
      <c r="M94" s="62"/>
      <c r="O94"/>
      <c r="P94"/>
      <c r="Q94"/>
      <c r="R94"/>
      <c r="S94"/>
      <c r="T94"/>
    </row>
    <row r="95" spans="1:20">
      <c r="A95" s="35"/>
      <c r="B95" s="770"/>
      <c r="O95"/>
      <c r="P95"/>
      <c r="Q95"/>
      <c r="R95"/>
      <c r="S95"/>
      <c r="T95"/>
    </row>
    <row r="96" spans="1:20">
      <c r="A96" s="35"/>
      <c r="B96" s="777" t="s">
        <v>183</v>
      </c>
      <c r="C96" s="153" t="s">
        <v>128</v>
      </c>
      <c r="D96" s="93">
        <f>D92*D94</f>
        <v>-10.706046259593524</v>
      </c>
      <c r="E96" s="94">
        <f t="shared" ref="E96:K96" si="27">E92*E94</f>
        <v>-11.319080154830978</v>
      </c>
      <c r="F96" s="94">
        <f t="shared" si="27"/>
        <v>0.89884738077543613</v>
      </c>
      <c r="G96" s="94">
        <f t="shared" si="27"/>
        <v>10.860233047897454</v>
      </c>
      <c r="H96" s="94">
        <f t="shared" si="27"/>
        <v>13.932249630824472</v>
      </c>
      <c r="I96" s="94">
        <f t="shared" si="27"/>
        <v>5.3962987947537391</v>
      </c>
      <c r="J96" s="94">
        <f t="shared" si="27"/>
        <v>-10.831215627618271</v>
      </c>
      <c r="K96" s="94">
        <f t="shared" si="27"/>
        <v>-11.151204477698055</v>
      </c>
      <c r="L96" s="93">
        <f>SUM(D96:INDEX(D96:K96,0,MATCH('RFPR cover'!$C$7,$D$6:$K$6,0)))</f>
        <v>3.6662036450728603</v>
      </c>
      <c r="M96" s="95">
        <f>SUM(D96:K96)</f>
        <v>-12.919917665489727</v>
      </c>
      <c r="O96"/>
      <c r="P96"/>
      <c r="Q96"/>
      <c r="R96"/>
      <c r="S96"/>
      <c r="T96"/>
    </row>
    <row r="97" spans="1:20">
      <c r="A97" s="35"/>
      <c r="B97" s="777" t="s">
        <v>280</v>
      </c>
      <c r="C97" s="153" t="s">
        <v>128</v>
      </c>
      <c r="D97" s="90">
        <f>D92*(1-D94)</f>
        <v>-24.980774605718221</v>
      </c>
      <c r="E97" s="91">
        <f t="shared" ref="E97:K97" si="28">E92*(1-E94)</f>
        <v>-26.411187027938944</v>
      </c>
      <c r="F97" s="91">
        <f t="shared" si="28"/>
        <v>2.0973105551426841</v>
      </c>
      <c r="G97" s="91">
        <f t="shared" si="28"/>
        <v>25.340543778427389</v>
      </c>
      <c r="H97" s="91">
        <f t="shared" si="28"/>
        <v>32.508582471923759</v>
      </c>
      <c r="I97" s="91">
        <f t="shared" si="28"/>
        <v>12.591363854425389</v>
      </c>
      <c r="J97" s="91">
        <f t="shared" si="28"/>
        <v>-25.272836464442626</v>
      </c>
      <c r="K97" s="91">
        <f t="shared" si="28"/>
        <v>-26.019477114628788</v>
      </c>
      <c r="L97" s="90">
        <f>SUM(D97:INDEX(D97:K97,0,MATCH('RFPR cover'!$C$7,$D$6:$K$6,0)))</f>
        <v>8.5544751718366712</v>
      </c>
      <c r="M97" s="92">
        <f>SUM(D97:K97)</f>
        <v>-30.146474552809355</v>
      </c>
      <c r="O97"/>
      <c r="P97"/>
      <c r="Q97"/>
      <c r="R97"/>
      <c r="S97"/>
      <c r="T97"/>
    </row>
    <row r="98" spans="1:20">
      <c r="A98" s="35"/>
      <c r="B98" s="770"/>
      <c r="O98"/>
      <c r="P98"/>
      <c r="Q98"/>
      <c r="R98"/>
      <c r="S98"/>
      <c r="T98"/>
    </row>
    <row r="99" spans="1:20">
      <c r="A99" s="35"/>
      <c r="B99" s="778" t="s">
        <v>182</v>
      </c>
      <c r="N99" s="63"/>
      <c r="O99"/>
      <c r="P99"/>
      <c r="Q99"/>
      <c r="R99"/>
      <c r="S99"/>
      <c r="T99"/>
    </row>
    <row r="100" spans="1:20">
      <c r="A100" s="267" t="s">
        <v>151</v>
      </c>
      <c r="B100" s="223" t="str">
        <f t="shared" ref="B100:B105" si="29">B22</f>
        <v>Pensions prepayment (See Appendices within RFPR commentary documentation)</v>
      </c>
      <c r="C100" s="153" t="s">
        <v>128</v>
      </c>
      <c r="D100" s="588">
        <f t="shared" ref="D100:K105" si="30">D22*D$86</f>
        <v>0</v>
      </c>
      <c r="E100" s="588">
        <f t="shared" si="30"/>
        <v>14.588215487583573</v>
      </c>
      <c r="F100" s="588">
        <f t="shared" si="30"/>
        <v>-14.310365605203033</v>
      </c>
      <c r="G100" s="588">
        <f t="shared" si="30"/>
        <v>-0.27784988238053643</v>
      </c>
      <c r="H100" s="588">
        <f t="shared" si="30"/>
        <v>0</v>
      </c>
      <c r="I100" s="588">
        <f t="shared" si="30"/>
        <v>0</v>
      </c>
      <c r="J100" s="588">
        <f t="shared" si="30"/>
        <v>0</v>
      </c>
      <c r="K100" s="588">
        <f t="shared" si="30"/>
        <v>0</v>
      </c>
      <c r="L100" s="580">
        <f>SUM(D100:INDEX(D100:K100,0,MATCH('RFPR cover'!$C$7,$D$6:$K$6,0)))</f>
        <v>3.5527136788005009E-15</v>
      </c>
      <c r="M100" s="581">
        <f t="shared" ref="M100:M106" si="31">SUM(D100:K100)</f>
        <v>3.5527136788005009E-15</v>
      </c>
      <c r="N100" s="63"/>
      <c r="O100"/>
      <c r="P100"/>
      <c r="Q100"/>
      <c r="R100"/>
      <c r="S100"/>
      <c r="T100"/>
    </row>
    <row r="101" spans="1:20">
      <c r="A101" s="267" t="s">
        <v>152</v>
      </c>
      <c r="B101" s="223" t="str">
        <f t="shared" si="29"/>
        <v>Rail Electrification (See Appendices within RFRS commentary documentation)</v>
      </c>
      <c r="C101" s="153" t="s">
        <v>128</v>
      </c>
      <c r="D101" s="588">
        <f t="shared" si="30"/>
        <v>0</v>
      </c>
      <c r="E101" s="588">
        <f t="shared" si="30"/>
        <v>0</v>
      </c>
      <c r="F101" s="588">
        <f t="shared" si="30"/>
        <v>-0.61098935190037995</v>
      </c>
      <c r="G101" s="588">
        <f t="shared" si="30"/>
        <v>-0.16825347477504909</v>
      </c>
      <c r="H101" s="588">
        <f t="shared" si="30"/>
        <v>-1.4924367930438287</v>
      </c>
      <c r="I101" s="588">
        <f t="shared" si="30"/>
        <v>0.84044433506643001</v>
      </c>
      <c r="J101" s="588">
        <f t="shared" si="30"/>
        <v>0.84344384773541337</v>
      </c>
      <c r="K101" s="588">
        <f t="shared" si="30"/>
        <v>0.71647357420375546</v>
      </c>
      <c r="L101" s="584">
        <f>SUM(D101:INDEX(D101:K101,0,MATCH('RFPR cover'!$C$7,$D$6:$K$6,0)))</f>
        <v>-2.2716796197192579</v>
      </c>
      <c r="M101" s="585">
        <f t="shared" si="31"/>
        <v>0.12868213728634081</v>
      </c>
      <c r="N101" s="63"/>
      <c r="O101"/>
      <c r="P101"/>
      <c r="Q101"/>
      <c r="R101"/>
      <c r="S101"/>
      <c r="T101"/>
    </row>
    <row r="102" spans="1:20">
      <c r="A102" s="267" t="s">
        <v>153</v>
      </c>
      <c r="B102" s="223" t="str">
        <f t="shared" si="29"/>
        <v>TIM neutral and Smart meter adjustments to Totex allowance</v>
      </c>
      <c r="C102" s="153" t="s">
        <v>128</v>
      </c>
      <c r="D102" s="588">
        <f t="shared" si="30"/>
        <v>0</v>
      </c>
      <c r="E102" s="588">
        <f t="shared" si="30"/>
        <v>0</v>
      </c>
      <c r="F102" s="588">
        <f t="shared" si="30"/>
        <v>0</v>
      </c>
      <c r="G102" s="588">
        <f t="shared" si="30"/>
        <v>0</v>
      </c>
      <c r="H102" s="588">
        <f t="shared" si="30"/>
        <v>-0.76577357635245624</v>
      </c>
      <c r="I102" s="588">
        <f t="shared" si="30"/>
        <v>-0.61251504904454501</v>
      </c>
      <c r="J102" s="588">
        <f t="shared" si="30"/>
        <v>4.1796441461966065</v>
      </c>
      <c r="K102" s="588">
        <f t="shared" si="30"/>
        <v>3.3371831130633995</v>
      </c>
      <c r="L102" s="584">
        <f>SUM(D102:INDEX(D102:K102,0,MATCH('RFPR cover'!$C$7,$D$6:$K$6,0)))</f>
        <v>-0.76577357635245624</v>
      </c>
      <c r="M102" s="585">
        <f t="shared" si="31"/>
        <v>6.1385386338630052</v>
      </c>
      <c r="N102" s="63"/>
      <c r="O102"/>
      <c r="P102"/>
      <c r="Q102"/>
      <c r="R102"/>
      <c r="S102" s="65"/>
      <c r="T102"/>
    </row>
    <row r="103" spans="1:20">
      <c r="A103" s="267" t="s">
        <v>168</v>
      </c>
      <c r="B103" s="223" t="str">
        <f t="shared" si="29"/>
        <v>[Enduring Value adjustment]</v>
      </c>
      <c r="C103" s="153" t="s">
        <v>128</v>
      </c>
      <c r="D103" s="588">
        <f t="shared" si="30"/>
        <v>0</v>
      </c>
      <c r="E103" s="588">
        <f t="shared" si="30"/>
        <v>0</v>
      </c>
      <c r="F103" s="588">
        <f t="shared" si="30"/>
        <v>0</v>
      </c>
      <c r="G103" s="588">
        <f t="shared" si="30"/>
        <v>0</v>
      </c>
      <c r="H103" s="588">
        <f t="shared" si="30"/>
        <v>0</v>
      </c>
      <c r="I103" s="588">
        <f t="shared" si="30"/>
        <v>0</v>
      </c>
      <c r="J103" s="588">
        <f t="shared" si="30"/>
        <v>0</v>
      </c>
      <c r="K103" s="588">
        <f t="shared" si="30"/>
        <v>0</v>
      </c>
      <c r="L103" s="584">
        <f>SUM(D103:INDEX(D103:K103,0,MATCH('RFPR cover'!$C$7,$D$6:$K$6,0)))</f>
        <v>0</v>
      </c>
      <c r="M103" s="585">
        <f t="shared" si="31"/>
        <v>0</v>
      </c>
      <c r="N103" s="63"/>
      <c r="O103"/>
      <c r="P103"/>
      <c r="Q103"/>
      <c r="R103"/>
      <c r="S103"/>
      <c r="T103"/>
    </row>
    <row r="104" spans="1:20">
      <c r="A104" s="267" t="s">
        <v>169</v>
      </c>
      <c r="B104" s="223" t="str">
        <f t="shared" si="29"/>
        <v>[Enduring Value adjustment]</v>
      </c>
      <c r="C104" s="153" t="s">
        <v>128</v>
      </c>
      <c r="D104" s="588">
        <f t="shared" si="30"/>
        <v>0</v>
      </c>
      <c r="E104" s="588">
        <f t="shared" si="30"/>
        <v>0</v>
      </c>
      <c r="F104" s="588">
        <f t="shared" si="30"/>
        <v>0</v>
      </c>
      <c r="G104" s="588">
        <f t="shared" si="30"/>
        <v>0</v>
      </c>
      <c r="H104" s="588">
        <f t="shared" si="30"/>
        <v>0</v>
      </c>
      <c r="I104" s="588">
        <f t="shared" si="30"/>
        <v>0</v>
      </c>
      <c r="J104" s="588">
        <f t="shared" si="30"/>
        <v>0</v>
      </c>
      <c r="K104" s="588">
        <f t="shared" si="30"/>
        <v>0</v>
      </c>
      <c r="L104" s="584">
        <f>SUM(D104:INDEX(D104:K104,0,MATCH('RFPR cover'!$C$7,$D$6:$K$6,0)))</f>
        <v>0</v>
      </c>
      <c r="M104" s="585">
        <f t="shared" si="31"/>
        <v>0</v>
      </c>
      <c r="N104" s="63"/>
      <c r="O104"/>
      <c r="P104"/>
      <c r="Q104"/>
      <c r="R104"/>
      <c r="S104"/>
      <c r="T104"/>
    </row>
    <row r="105" spans="1:20">
      <c r="A105" s="267" t="s">
        <v>170</v>
      </c>
      <c r="B105" s="223" t="str">
        <f t="shared" si="29"/>
        <v>[Enduring Value adjustment]</v>
      </c>
      <c r="C105" s="153" t="s">
        <v>128</v>
      </c>
      <c r="D105" s="588">
        <f t="shared" si="30"/>
        <v>0</v>
      </c>
      <c r="E105" s="588">
        <f t="shared" si="30"/>
        <v>0</v>
      </c>
      <c r="F105" s="588">
        <f t="shared" si="30"/>
        <v>0</v>
      </c>
      <c r="G105" s="588">
        <f t="shared" si="30"/>
        <v>0</v>
      </c>
      <c r="H105" s="588">
        <f t="shared" si="30"/>
        <v>0</v>
      </c>
      <c r="I105" s="588">
        <f t="shared" si="30"/>
        <v>0</v>
      </c>
      <c r="J105" s="588">
        <f t="shared" si="30"/>
        <v>0</v>
      </c>
      <c r="K105" s="588">
        <f t="shared" si="30"/>
        <v>0</v>
      </c>
      <c r="L105" s="588">
        <f>SUM(D105:INDEX(D105:K105,0,MATCH('RFPR cover'!$C$7,$D$6:$K$6,0)))</f>
        <v>0</v>
      </c>
      <c r="M105" s="589">
        <f t="shared" si="31"/>
        <v>0</v>
      </c>
      <c r="N105" s="63"/>
      <c r="O105"/>
      <c r="P105"/>
      <c r="Q105"/>
      <c r="R105"/>
      <c r="S105"/>
      <c r="T105"/>
    </row>
    <row r="106" spans="1:20">
      <c r="A106" s="35"/>
      <c r="B106" s="778" t="s">
        <v>190</v>
      </c>
      <c r="C106" s="153" t="s">
        <v>128</v>
      </c>
      <c r="D106" s="100">
        <f>SUM(D100:D105)</f>
        <v>0</v>
      </c>
      <c r="E106" s="101">
        <f t="shared" ref="E106:K106" si="32">SUM(E100:E105)</f>
        <v>14.588215487583573</v>
      </c>
      <c r="F106" s="101">
        <f t="shared" si="32"/>
        <v>-14.921354957103414</v>
      </c>
      <c r="G106" s="101">
        <f t="shared" si="32"/>
        <v>-0.44610335715558552</v>
      </c>
      <c r="H106" s="101">
        <f t="shared" si="32"/>
        <v>-2.2582103693962852</v>
      </c>
      <c r="I106" s="101">
        <f t="shared" si="32"/>
        <v>0.227929286021885</v>
      </c>
      <c r="J106" s="101">
        <f t="shared" si="32"/>
        <v>5.0230879939320197</v>
      </c>
      <c r="K106" s="102">
        <f t="shared" si="32"/>
        <v>4.0536566872671553</v>
      </c>
      <c r="L106" s="100">
        <f>SUM(D106:INDEX(D106:K106,0,MATCH('RFPR cover'!$C$7,$D$6:$K$6,0)))</f>
        <v>-3.0374531960717115</v>
      </c>
      <c r="M106" s="102">
        <f t="shared" si="31"/>
        <v>6.2672207711493488</v>
      </c>
      <c r="N106" s="63"/>
    </row>
    <row r="107" spans="1:20">
      <c r="A107" s="35"/>
      <c r="B107" s="770"/>
    </row>
    <row r="108" spans="1:20">
      <c r="A108" s="35"/>
      <c r="B108" s="777" t="s">
        <v>198</v>
      </c>
      <c r="C108" s="153" t="s">
        <v>128</v>
      </c>
      <c r="D108" s="93">
        <f t="shared" ref="D108:K108" si="33">D106*D94</f>
        <v>0</v>
      </c>
      <c r="E108" s="94">
        <f t="shared" si="33"/>
        <v>4.3764646462750729</v>
      </c>
      <c r="F108" s="94">
        <f t="shared" si="33"/>
        <v>-4.4764064871310252</v>
      </c>
      <c r="G108" s="94">
        <f t="shared" si="33"/>
        <v>-0.13383100714667567</v>
      </c>
      <c r="H108" s="94">
        <f t="shared" si="33"/>
        <v>-0.67746311081888566</v>
      </c>
      <c r="I108" s="94">
        <f t="shared" si="33"/>
        <v>6.8378785806565506E-2</v>
      </c>
      <c r="J108" s="94">
        <f t="shared" si="33"/>
        <v>1.5069263981796062</v>
      </c>
      <c r="K108" s="94">
        <f t="shared" si="33"/>
        <v>1.2160970061801468</v>
      </c>
      <c r="L108" s="93">
        <f>SUM(D108:INDEX(D108:K108,0,MATCH('RFPR cover'!$C$7,$D$6:$K$6,0)))</f>
        <v>-0.91123595882151354</v>
      </c>
      <c r="M108" s="95">
        <f>SUM(D108:K108)</f>
        <v>1.8801662313448051</v>
      </c>
    </row>
    <row r="109" spans="1:20">
      <c r="A109" s="35"/>
      <c r="B109" s="777" t="s">
        <v>309</v>
      </c>
      <c r="C109" s="153" t="s">
        <v>128</v>
      </c>
      <c r="D109" s="90">
        <f t="shared" ref="D109:K109" si="34">D106*(1-D94)</f>
        <v>0</v>
      </c>
      <c r="E109" s="91">
        <f t="shared" si="34"/>
        <v>10.211750841308501</v>
      </c>
      <c r="F109" s="91">
        <f t="shared" si="34"/>
        <v>-10.44494846997239</v>
      </c>
      <c r="G109" s="91">
        <f t="shared" si="34"/>
        <v>-0.31227235000890985</v>
      </c>
      <c r="H109" s="91">
        <f t="shared" si="34"/>
        <v>-1.5807472585773996</v>
      </c>
      <c r="I109" s="91">
        <f t="shared" si="34"/>
        <v>0.1595505002153195</v>
      </c>
      <c r="J109" s="91">
        <f t="shared" si="34"/>
        <v>3.5161615957524135</v>
      </c>
      <c r="K109" s="91">
        <f t="shared" si="34"/>
        <v>2.8375596810870087</v>
      </c>
      <c r="L109" s="90">
        <f>SUM(D109:INDEX(D109:K109,0,MATCH('RFPR cover'!$C$7,$D$6:$K$6,0)))</f>
        <v>-2.1262172372501991</v>
      </c>
      <c r="M109" s="92">
        <f>SUM(D109:K109)</f>
        <v>4.3870545398045424</v>
      </c>
    </row>
    <row r="110" spans="1:20">
      <c r="A110" s="35"/>
      <c r="B110" s="770"/>
    </row>
    <row r="111" spans="1:20">
      <c r="A111" s="35"/>
      <c r="B111" s="778" t="s">
        <v>181</v>
      </c>
    </row>
    <row r="112" spans="1:20">
      <c r="A112" s="35"/>
      <c r="B112" s="770" t="s">
        <v>180</v>
      </c>
      <c r="C112" s="153" t="s">
        <v>128</v>
      </c>
      <c r="D112" s="93">
        <f>D96+D108</f>
        <v>-10.706046259593524</v>
      </c>
      <c r="E112" s="94">
        <f t="shared" ref="E112:K112" si="35">E96+E108</f>
        <v>-6.9426155085559049</v>
      </c>
      <c r="F112" s="94">
        <f t="shared" si="35"/>
        <v>-3.5775591063555892</v>
      </c>
      <c r="G112" s="94">
        <f t="shared" si="35"/>
        <v>10.726402040750779</v>
      </c>
      <c r="H112" s="94">
        <f t="shared" si="35"/>
        <v>13.254786520005586</v>
      </c>
      <c r="I112" s="94">
        <f t="shared" si="35"/>
        <v>5.4646775805603047</v>
      </c>
      <c r="J112" s="94">
        <f t="shared" si="35"/>
        <v>-9.3242892294386639</v>
      </c>
      <c r="K112" s="94">
        <f t="shared" si="35"/>
        <v>-9.9351074715179077</v>
      </c>
      <c r="L112" s="93">
        <f>SUM(D112:INDEX(D112:K112,0,MATCH('RFPR cover'!$C$7,$D$6:$K$6,0)))</f>
        <v>2.7549676862513444</v>
      </c>
      <c r="M112" s="95">
        <f>SUM(D112:K112)</f>
        <v>-11.039751434144922</v>
      </c>
    </row>
    <row r="113" spans="1:20">
      <c r="A113" s="35"/>
      <c r="B113" s="770" t="s">
        <v>280</v>
      </c>
      <c r="C113" s="153" t="s">
        <v>128</v>
      </c>
      <c r="D113" s="517">
        <f>D97+D109</f>
        <v>-24.980774605718221</v>
      </c>
      <c r="E113" s="518">
        <f t="shared" ref="E113:K113" si="36">E97+E109</f>
        <v>-16.199436186630443</v>
      </c>
      <c r="F113" s="518">
        <f t="shared" si="36"/>
        <v>-8.347637914829706</v>
      </c>
      <c r="G113" s="518">
        <f t="shared" si="36"/>
        <v>25.028271428418478</v>
      </c>
      <c r="H113" s="518">
        <f t="shared" si="36"/>
        <v>30.927835213346359</v>
      </c>
      <c r="I113" s="518">
        <f t="shared" si="36"/>
        <v>12.750914354640708</v>
      </c>
      <c r="J113" s="518">
        <f t="shared" si="36"/>
        <v>-21.756674868690212</v>
      </c>
      <c r="K113" s="518">
        <f t="shared" si="36"/>
        <v>-23.181917433541781</v>
      </c>
      <c r="L113" s="517">
        <f>SUM(D113:INDEX(D113:K113,0,MATCH('RFPR cover'!$C$7,$D$6:$K$6,0)))</f>
        <v>6.4282579345864725</v>
      </c>
      <c r="M113" s="519">
        <f>SUM(D113:K113)</f>
        <v>-25.75942001300481</v>
      </c>
    </row>
    <row r="114" spans="1:20">
      <c r="A114" s="35"/>
      <c r="B114" s="778" t="s">
        <v>11</v>
      </c>
      <c r="C114" s="154" t="s">
        <v>128</v>
      </c>
      <c r="D114" s="143">
        <f>SUM(D112:D113)</f>
        <v>-35.686820865311745</v>
      </c>
      <c r="E114" s="144">
        <f t="shared" ref="E114:K114" si="37">SUM(E112:E113)</f>
        <v>-23.142051695186346</v>
      </c>
      <c r="F114" s="144">
        <f t="shared" si="37"/>
        <v>-11.925197021185294</v>
      </c>
      <c r="G114" s="144">
        <f t="shared" si="37"/>
        <v>35.754673469169255</v>
      </c>
      <c r="H114" s="144">
        <f t="shared" si="37"/>
        <v>44.182621733351944</v>
      </c>
      <c r="I114" s="144">
        <f t="shared" si="37"/>
        <v>18.215591935201012</v>
      </c>
      <c r="J114" s="144">
        <f t="shared" si="37"/>
        <v>-31.080964098128874</v>
      </c>
      <c r="K114" s="144">
        <f t="shared" si="37"/>
        <v>-33.117024905059687</v>
      </c>
      <c r="L114" s="143">
        <f>SUM(D114:INDEX(D114:K114,0,MATCH('RFPR cover'!$C$7,$D$6:$K$6,0)))</f>
        <v>9.1832256208378169</v>
      </c>
      <c r="M114" s="145">
        <f>SUM(D114:K114)</f>
        <v>-36.799171447149732</v>
      </c>
    </row>
    <row r="115" spans="1:20">
      <c r="A115" s="35"/>
      <c r="B115" s="770"/>
    </row>
    <row r="116" spans="1:20">
      <c r="A116" s="35"/>
      <c r="B116" s="773" t="str">
        <f>B38</f>
        <v>n/a</v>
      </c>
      <c r="C116" s="148"/>
      <c r="D116" s="82"/>
      <c r="E116" s="82"/>
      <c r="F116" s="82"/>
      <c r="G116" s="82"/>
      <c r="H116" s="82"/>
      <c r="I116" s="82"/>
      <c r="J116" s="82"/>
      <c r="K116" s="82"/>
      <c r="L116" s="82"/>
      <c r="M116" s="82"/>
      <c r="N116" s="82"/>
    </row>
    <row r="117" spans="1:20" s="35" customFormat="1">
      <c r="B117" s="771"/>
      <c r="C117" s="136"/>
      <c r="D117" s="317"/>
      <c r="E117" s="317"/>
      <c r="F117" s="317"/>
      <c r="G117" s="317"/>
      <c r="H117" s="317"/>
      <c r="I117" s="317"/>
      <c r="J117" s="317"/>
      <c r="K117" s="317"/>
      <c r="L117" s="317"/>
      <c r="M117" s="317"/>
      <c r="N117" s="317"/>
    </row>
    <row r="118" spans="1:20">
      <c r="A118" s="35"/>
      <c r="B118" s="302" t="s">
        <v>34</v>
      </c>
      <c r="C118" s="153" t="s">
        <v>128</v>
      </c>
      <c r="D118" s="667">
        <f t="shared" ref="D118:K119" si="38">D40*D$86</f>
        <v>0</v>
      </c>
      <c r="E118" s="667">
        <f t="shared" si="38"/>
        <v>0</v>
      </c>
      <c r="F118" s="667">
        <f t="shared" si="38"/>
        <v>0</v>
      </c>
      <c r="G118" s="667">
        <f t="shared" si="38"/>
        <v>0</v>
      </c>
      <c r="H118" s="667">
        <f t="shared" si="38"/>
        <v>0</v>
      </c>
      <c r="I118" s="667">
        <f t="shared" si="38"/>
        <v>0</v>
      </c>
      <c r="J118" s="667">
        <f t="shared" si="38"/>
        <v>0</v>
      </c>
      <c r="K118" s="667">
        <f t="shared" si="38"/>
        <v>0</v>
      </c>
      <c r="L118" s="667">
        <f>SUM(D118:INDEX(D118:K118,0,MATCH('RFPR cover'!$C$7,$D$6:$K$6,0)))</f>
        <v>0</v>
      </c>
      <c r="M118" s="668">
        <f>SUM(D118:K118)</f>
        <v>0</v>
      </c>
      <c r="N118" s="63"/>
      <c r="O118" s="63"/>
    </row>
    <row r="119" spans="1:20" ht="25.2">
      <c r="A119" s="35"/>
      <c r="B119" s="775" t="s">
        <v>197</v>
      </c>
      <c r="C119" s="153" t="s">
        <v>128</v>
      </c>
      <c r="D119" s="667">
        <f t="shared" si="38"/>
        <v>0</v>
      </c>
      <c r="E119" s="667">
        <f t="shared" si="38"/>
        <v>0</v>
      </c>
      <c r="F119" s="667">
        <f t="shared" si="38"/>
        <v>0</v>
      </c>
      <c r="G119" s="667">
        <f t="shared" si="38"/>
        <v>0</v>
      </c>
      <c r="H119" s="667">
        <f t="shared" si="38"/>
        <v>0</v>
      </c>
      <c r="I119" s="667">
        <f t="shared" si="38"/>
        <v>0</v>
      </c>
      <c r="J119" s="667">
        <f t="shared" si="38"/>
        <v>0</v>
      </c>
      <c r="K119" s="667">
        <f t="shared" si="38"/>
        <v>0</v>
      </c>
      <c r="L119" s="669">
        <f>SUM(D119:INDEX(D119:K119,0,MATCH('RFPR cover'!$C$7,$D$6:$K$6,0)))</f>
        <v>0</v>
      </c>
      <c r="M119" s="670">
        <f>SUM(D119:K119)</f>
        <v>0</v>
      </c>
      <c r="N119" s="63"/>
      <c r="O119" s="63"/>
    </row>
    <row r="120" spans="1:20">
      <c r="A120" s="35"/>
      <c r="B120" s="776" t="s">
        <v>195</v>
      </c>
      <c r="C120" s="153" t="s">
        <v>128</v>
      </c>
      <c r="D120" s="100">
        <f>D119-D118</f>
        <v>0</v>
      </c>
      <c r="E120" s="101">
        <f t="shared" ref="E120:M120" si="39">E119-E118</f>
        <v>0</v>
      </c>
      <c r="F120" s="101">
        <f t="shared" si="39"/>
        <v>0</v>
      </c>
      <c r="G120" s="101">
        <f t="shared" si="39"/>
        <v>0</v>
      </c>
      <c r="H120" s="101">
        <f t="shared" si="39"/>
        <v>0</v>
      </c>
      <c r="I120" s="101">
        <f t="shared" si="39"/>
        <v>0</v>
      </c>
      <c r="J120" s="101">
        <f t="shared" si="39"/>
        <v>0</v>
      </c>
      <c r="K120" s="101">
        <f t="shared" si="39"/>
        <v>0</v>
      </c>
      <c r="L120" s="100">
        <f t="shared" si="39"/>
        <v>0</v>
      </c>
      <c r="M120" s="102">
        <f t="shared" si="39"/>
        <v>0</v>
      </c>
      <c r="N120" s="63"/>
      <c r="O120" s="1007"/>
      <c r="P120" s="1007"/>
      <c r="Q120" s="1007"/>
      <c r="R120"/>
      <c r="S120"/>
      <c r="T120"/>
    </row>
    <row r="121" spans="1:20" ht="13.2">
      <c r="A121" s="35"/>
      <c r="B121" s="776"/>
      <c r="C121" s="153"/>
      <c r="D121" s="59"/>
      <c r="E121" s="59"/>
      <c r="F121" s="59"/>
      <c r="G121" s="59"/>
      <c r="H121" s="59"/>
      <c r="I121" s="59"/>
      <c r="J121" s="59"/>
      <c r="K121" s="59"/>
      <c r="L121" s="59"/>
      <c r="M121" s="59"/>
      <c r="O121" s="64"/>
      <c r="P121" s="64"/>
      <c r="Q121" s="64"/>
      <c r="R121"/>
      <c r="S121"/>
      <c r="T121"/>
    </row>
    <row r="122" spans="1:20">
      <c r="A122" s="35"/>
      <c r="B122" s="770" t="s">
        <v>178</v>
      </c>
      <c r="C122" s="134" t="s">
        <v>7</v>
      </c>
      <c r="D122" s="107">
        <f>1-INDEX(Data!$D$73:$D$100,MATCH('RFPR cover'!$C$5,Data!$B$73:$B$100,0),0)</f>
        <v>0.30000000000000004</v>
      </c>
      <c r="E122" s="108">
        <f>1-INDEX(Data!$D$73:$D$100,MATCH('RFPR cover'!$C$5,Data!$B$73:$B$100,0),0)</f>
        <v>0.30000000000000004</v>
      </c>
      <c r="F122" s="108">
        <f>1-INDEX(Data!$D$73:$D$100,MATCH('RFPR cover'!$C$5,Data!$B$73:$B$100,0),0)</f>
        <v>0.30000000000000004</v>
      </c>
      <c r="G122" s="108">
        <f>1-INDEX(Data!$D$73:$D$100,MATCH('RFPR cover'!$C$5,Data!$B$73:$B$100,0),0)</f>
        <v>0.30000000000000004</v>
      </c>
      <c r="H122" s="108">
        <f>1-INDEX(Data!$D$73:$D$100,MATCH('RFPR cover'!$C$5,Data!$B$73:$B$100,0),0)</f>
        <v>0.30000000000000004</v>
      </c>
      <c r="I122" s="108">
        <f>1-INDEX(Data!$D$73:$D$100,MATCH('RFPR cover'!$C$5,Data!$B$73:$B$100,0),0)</f>
        <v>0.30000000000000004</v>
      </c>
      <c r="J122" s="108">
        <f>1-INDEX(Data!$D$73:$D$100,MATCH('RFPR cover'!$C$5,Data!$B$73:$B$100,0),0)</f>
        <v>0.30000000000000004</v>
      </c>
      <c r="K122" s="109">
        <f>1-INDEX(Data!$D$73:$D$100,MATCH('RFPR cover'!$C$5,Data!$B$73:$B$100,0),0)</f>
        <v>0.30000000000000004</v>
      </c>
      <c r="L122" s="62"/>
      <c r="M122" s="62"/>
      <c r="O122"/>
      <c r="P122"/>
      <c r="Q122"/>
      <c r="R122"/>
      <c r="S122"/>
      <c r="T122"/>
    </row>
    <row r="123" spans="1:20">
      <c r="A123" s="35"/>
      <c r="B123" s="770"/>
      <c r="O123"/>
      <c r="P123"/>
      <c r="Q123"/>
      <c r="R123"/>
      <c r="S123"/>
      <c r="T123"/>
    </row>
    <row r="124" spans="1:20">
      <c r="A124" s="35"/>
      <c r="B124" s="777" t="s">
        <v>183</v>
      </c>
      <c r="C124" s="157" t="s">
        <v>128</v>
      </c>
      <c r="D124" s="93">
        <f>D120*D122</f>
        <v>0</v>
      </c>
      <c r="E124" s="94">
        <f t="shared" ref="E124:K124" si="40">E120*E122</f>
        <v>0</v>
      </c>
      <c r="F124" s="94">
        <f t="shared" si="40"/>
        <v>0</v>
      </c>
      <c r="G124" s="94">
        <f t="shared" si="40"/>
        <v>0</v>
      </c>
      <c r="H124" s="94">
        <f t="shared" si="40"/>
        <v>0</v>
      </c>
      <c r="I124" s="94">
        <f t="shared" si="40"/>
        <v>0</v>
      </c>
      <c r="J124" s="94">
        <f t="shared" si="40"/>
        <v>0</v>
      </c>
      <c r="K124" s="94">
        <f t="shared" si="40"/>
        <v>0</v>
      </c>
      <c r="L124" s="93">
        <f>SUM(D124:INDEX(D124:K124,0,MATCH('RFPR cover'!$C$7,$D$6:$K$6,0)))</f>
        <v>0</v>
      </c>
      <c r="M124" s="95">
        <f>SUM(D124:K124)</f>
        <v>0</v>
      </c>
      <c r="O124"/>
      <c r="P124"/>
      <c r="Q124"/>
      <c r="R124"/>
      <c r="S124"/>
      <c r="T124"/>
    </row>
    <row r="125" spans="1:20">
      <c r="A125" s="35"/>
      <c r="B125" s="777" t="s">
        <v>179</v>
      </c>
      <c r="C125" s="157" t="s">
        <v>128</v>
      </c>
      <c r="D125" s="90">
        <f>D120*(1-D122)</f>
        <v>0</v>
      </c>
      <c r="E125" s="91">
        <f t="shared" ref="E125:K125" si="41">E120*(1-E122)</f>
        <v>0</v>
      </c>
      <c r="F125" s="91">
        <f t="shared" si="41"/>
        <v>0</v>
      </c>
      <c r="G125" s="91">
        <f t="shared" si="41"/>
        <v>0</v>
      </c>
      <c r="H125" s="91">
        <f t="shared" si="41"/>
        <v>0</v>
      </c>
      <c r="I125" s="91">
        <f t="shared" si="41"/>
        <v>0</v>
      </c>
      <c r="J125" s="91">
        <f t="shared" si="41"/>
        <v>0</v>
      </c>
      <c r="K125" s="91">
        <f t="shared" si="41"/>
        <v>0</v>
      </c>
      <c r="L125" s="90">
        <f>SUM(D125:INDEX(D125:K125,0,MATCH('RFPR cover'!$C$7,$D$6:$K$6,0)))</f>
        <v>0</v>
      </c>
      <c r="M125" s="92">
        <f>SUM(D125:K125)</f>
        <v>0</v>
      </c>
      <c r="O125"/>
      <c r="P125"/>
      <c r="Q125"/>
      <c r="R125"/>
      <c r="S125"/>
      <c r="T125"/>
    </row>
    <row r="126" spans="1:20">
      <c r="A126" s="35"/>
      <c r="B126" s="770"/>
      <c r="O126"/>
      <c r="P126"/>
      <c r="Q126"/>
      <c r="R126"/>
      <c r="S126"/>
      <c r="T126"/>
    </row>
    <row r="127" spans="1:20">
      <c r="A127" s="35"/>
      <c r="B127" s="778" t="s">
        <v>182</v>
      </c>
      <c r="N127" s="63"/>
      <c r="O127"/>
      <c r="P127"/>
      <c r="Q127"/>
      <c r="R127"/>
      <c r="S127"/>
      <c r="T127"/>
    </row>
    <row r="128" spans="1:20">
      <c r="A128" s="267" t="s">
        <v>151</v>
      </c>
      <c r="B128" s="223" t="str">
        <f t="shared" ref="B128:B133" si="42">B50</f>
        <v>[Enduring Value adjustment]</v>
      </c>
      <c r="C128" s="153" t="s">
        <v>128</v>
      </c>
      <c r="D128" s="580">
        <f t="shared" ref="D128:K133" si="43">D50*D$86</f>
        <v>0</v>
      </c>
      <c r="E128" s="580">
        <f t="shared" si="43"/>
        <v>0</v>
      </c>
      <c r="F128" s="580">
        <f t="shared" si="43"/>
        <v>0</v>
      </c>
      <c r="G128" s="580">
        <f t="shared" si="43"/>
        <v>0</v>
      </c>
      <c r="H128" s="580">
        <f t="shared" si="43"/>
        <v>0</v>
      </c>
      <c r="I128" s="580">
        <f t="shared" si="43"/>
        <v>0</v>
      </c>
      <c r="J128" s="580">
        <f t="shared" si="43"/>
        <v>0</v>
      </c>
      <c r="K128" s="580">
        <f t="shared" si="43"/>
        <v>0</v>
      </c>
      <c r="L128" s="580">
        <f>SUM(D128:INDEX(D128:K128,0,MATCH('RFPR cover'!$C$7,$D$6:$K$6,0)))</f>
        <v>0</v>
      </c>
      <c r="M128" s="581">
        <f t="shared" ref="M128:M134" si="44">SUM(D128:K128)</f>
        <v>0</v>
      </c>
      <c r="N128" s="63"/>
      <c r="O128"/>
      <c r="P128"/>
      <c r="Q128"/>
      <c r="R128"/>
      <c r="S128"/>
      <c r="T128"/>
    </row>
    <row r="129" spans="1:20">
      <c r="A129" s="267" t="s">
        <v>152</v>
      </c>
      <c r="B129" s="223" t="str">
        <f t="shared" si="42"/>
        <v>[Enduring Value adjustment]</v>
      </c>
      <c r="C129" s="153" t="s">
        <v>128</v>
      </c>
      <c r="D129" s="580">
        <f t="shared" si="43"/>
        <v>0</v>
      </c>
      <c r="E129" s="580">
        <f t="shared" si="43"/>
        <v>0</v>
      </c>
      <c r="F129" s="580">
        <f t="shared" si="43"/>
        <v>0</v>
      </c>
      <c r="G129" s="580">
        <f t="shared" si="43"/>
        <v>0</v>
      </c>
      <c r="H129" s="580">
        <f t="shared" si="43"/>
        <v>0</v>
      </c>
      <c r="I129" s="580">
        <f t="shared" si="43"/>
        <v>0</v>
      </c>
      <c r="J129" s="580">
        <f t="shared" si="43"/>
        <v>0</v>
      </c>
      <c r="K129" s="580">
        <f t="shared" si="43"/>
        <v>0</v>
      </c>
      <c r="L129" s="584">
        <f>SUM(D129:INDEX(D129:K129,0,MATCH('RFPR cover'!$C$7,$D$6:$K$6,0)))</f>
        <v>0</v>
      </c>
      <c r="M129" s="585">
        <f t="shared" si="44"/>
        <v>0</v>
      </c>
      <c r="N129" s="63"/>
      <c r="O129"/>
      <c r="P129"/>
      <c r="Q129"/>
      <c r="R129"/>
      <c r="S129"/>
      <c r="T129"/>
    </row>
    <row r="130" spans="1:20">
      <c r="A130" s="267" t="s">
        <v>153</v>
      </c>
      <c r="B130" s="223" t="str">
        <f t="shared" si="42"/>
        <v>[Enduring Value adjustment]</v>
      </c>
      <c r="C130" s="153" t="s">
        <v>128</v>
      </c>
      <c r="D130" s="580">
        <f t="shared" si="43"/>
        <v>0</v>
      </c>
      <c r="E130" s="580">
        <f t="shared" si="43"/>
        <v>0</v>
      </c>
      <c r="F130" s="580">
        <f t="shared" si="43"/>
        <v>0</v>
      </c>
      <c r="G130" s="580">
        <f t="shared" si="43"/>
        <v>0</v>
      </c>
      <c r="H130" s="580">
        <f t="shared" si="43"/>
        <v>0</v>
      </c>
      <c r="I130" s="580">
        <f t="shared" si="43"/>
        <v>0</v>
      </c>
      <c r="J130" s="580">
        <f t="shared" si="43"/>
        <v>0</v>
      </c>
      <c r="K130" s="580">
        <f t="shared" si="43"/>
        <v>0</v>
      </c>
      <c r="L130" s="584">
        <f>SUM(D130:INDEX(D130:K130,0,MATCH('RFPR cover'!$C$7,$D$6:$K$6,0)))</f>
        <v>0</v>
      </c>
      <c r="M130" s="585">
        <f t="shared" si="44"/>
        <v>0</v>
      </c>
      <c r="N130" s="63"/>
      <c r="O130"/>
      <c r="P130"/>
      <c r="Q130"/>
      <c r="R130"/>
      <c r="S130" s="65"/>
      <c r="T130"/>
    </row>
    <row r="131" spans="1:20">
      <c r="A131" s="267" t="s">
        <v>168</v>
      </c>
      <c r="B131" s="223" t="str">
        <f t="shared" si="42"/>
        <v>[Enduring Value adjustment]</v>
      </c>
      <c r="C131" s="153" t="s">
        <v>128</v>
      </c>
      <c r="D131" s="580">
        <f t="shared" si="43"/>
        <v>0</v>
      </c>
      <c r="E131" s="580">
        <f t="shared" si="43"/>
        <v>0</v>
      </c>
      <c r="F131" s="580">
        <f t="shared" si="43"/>
        <v>0</v>
      </c>
      <c r="G131" s="580">
        <f t="shared" si="43"/>
        <v>0</v>
      </c>
      <c r="H131" s="580">
        <f t="shared" si="43"/>
        <v>0</v>
      </c>
      <c r="I131" s="580">
        <f t="shared" si="43"/>
        <v>0</v>
      </c>
      <c r="J131" s="580">
        <f t="shared" si="43"/>
        <v>0</v>
      </c>
      <c r="K131" s="580">
        <f t="shared" si="43"/>
        <v>0</v>
      </c>
      <c r="L131" s="584">
        <f>SUM(D131:INDEX(D131:K131,0,MATCH('RFPR cover'!$C$7,$D$6:$K$6,0)))</f>
        <v>0</v>
      </c>
      <c r="M131" s="585">
        <f t="shared" si="44"/>
        <v>0</v>
      </c>
      <c r="N131" s="63"/>
      <c r="O131"/>
      <c r="P131"/>
      <c r="Q131"/>
      <c r="R131"/>
      <c r="S131"/>
      <c r="T131"/>
    </row>
    <row r="132" spans="1:20">
      <c r="A132" s="267" t="s">
        <v>169</v>
      </c>
      <c r="B132" s="223" t="str">
        <f t="shared" si="42"/>
        <v>[Enduring Value adjustment]</v>
      </c>
      <c r="C132" s="153" t="s">
        <v>128</v>
      </c>
      <c r="D132" s="580">
        <f t="shared" si="43"/>
        <v>0</v>
      </c>
      <c r="E132" s="580">
        <f t="shared" si="43"/>
        <v>0</v>
      </c>
      <c r="F132" s="580">
        <f t="shared" si="43"/>
        <v>0</v>
      </c>
      <c r="G132" s="580">
        <f t="shared" si="43"/>
        <v>0</v>
      </c>
      <c r="H132" s="580">
        <f t="shared" si="43"/>
        <v>0</v>
      </c>
      <c r="I132" s="580">
        <f t="shared" si="43"/>
        <v>0</v>
      </c>
      <c r="J132" s="580">
        <f t="shared" si="43"/>
        <v>0</v>
      </c>
      <c r="K132" s="580">
        <f t="shared" si="43"/>
        <v>0</v>
      </c>
      <c r="L132" s="584">
        <f>SUM(D132:INDEX(D132:K132,0,MATCH('RFPR cover'!$C$7,$D$6:$K$6,0)))</f>
        <v>0</v>
      </c>
      <c r="M132" s="585">
        <f t="shared" si="44"/>
        <v>0</v>
      </c>
      <c r="N132" s="63"/>
      <c r="O132"/>
      <c r="P132"/>
      <c r="Q132"/>
      <c r="R132"/>
      <c r="S132"/>
      <c r="T132"/>
    </row>
    <row r="133" spans="1:20">
      <c r="A133" s="267" t="s">
        <v>170</v>
      </c>
      <c r="B133" s="223" t="str">
        <f t="shared" si="42"/>
        <v>[Enduring Value adjustment]</v>
      </c>
      <c r="C133" s="153" t="s">
        <v>128</v>
      </c>
      <c r="D133" s="580">
        <f t="shared" si="43"/>
        <v>0</v>
      </c>
      <c r="E133" s="580">
        <f t="shared" si="43"/>
        <v>0</v>
      </c>
      <c r="F133" s="580">
        <f t="shared" si="43"/>
        <v>0</v>
      </c>
      <c r="G133" s="580">
        <f t="shared" si="43"/>
        <v>0</v>
      </c>
      <c r="H133" s="580">
        <f t="shared" si="43"/>
        <v>0</v>
      </c>
      <c r="I133" s="580">
        <f t="shared" si="43"/>
        <v>0</v>
      </c>
      <c r="J133" s="580">
        <f t="shared" si="43"/>
        <v>0</v>
      </c>
      <c r="K133" s="580">
        <f t="shared" si="43"/>
        <v>0</v>
      </c>
      <c r="L133" s="588">
        <f>SUM(D133:INDEX(D133:K133,0,MATCH('RFPR cover'!$C$7,$D$6:$K$6,0)))</f>
        <v>0</v>
      </c>
      <c r="M133" s="589">
        <f t="shared" si="44"/>
        <v>0</v>
      </c>
      <c r="N133" s="63"/>
      <c r="O133"/>
      <c r="P133"/>
      <c r="Q133"/>
      <c r="R133"/>
      <c r="S133"/>
      <c r="T133"/>
    </row>
    <row r="134" spans="1:20">
      <c r="A134" s="35"/>
      <c r="B134" s="778" t="s">
        <v>190</v>
      </c>
      <c r="C134" s="153" t="s">
        <v>128</v>
      </c>
      <c r="D134" s="100">
        <f>SUM(D128:D133)</f>
        <v>0</v>
      </c>
      <c r="E134" s="101">
        <f t="shared" ref="E134:K134" si="45">SUM(E128:E133)</f>
        <v>0</v>
      </c>
      <c r="F134" s="101">
        <f t="shared" si="45"/>
        <v>0</v>
      </c>
      <c r="G134" s="101">
        <f t="shared" si="45"/>
        <v>0</v>
      </c>
      <c r="H134" s="101">
        <f t="shared" si="45"/>
        <v>0</v>
      </c>
      <c r="I134" s="101">
        <f t="shared" si="45"/>
        <v>0</v>
      </c>
      <c r="J134" s="101">
        <f t="shared" si="45"/>
        <v>0</v>
      </c>
      <c r="K134" s="101">
        <f t="shared" si="45"/>
        <v>0</v>
      </c>
      <c r="L134" s="100">
        <f>SUM(D134:INDEX(D134:K134,0,MATCH('RFPR cover'!$C$7,$D$6:$K$6,0)))</f>
        <v>0</v>
      </c>
      <c r="M134" s="102">
        <f t="shared" si="44"/>
        <v>0</v>
      </c>
      <c r="N134" s="63"/>
    </row>
    <row r="135" spans="1:20">
      <c r="A135" s="35"/>
      <c r="B135" s="770"/>
    </row>
    <row r="136" spans="1:20">
      <c r="A136" s="35"/>
      <c r="B136" s="777" t="s">
        <v>198</v>
      </c>
      <c r="C136" s="157" t="s">
        <v>128</v>
      </c>
      <c r="D136" s="93">
        <f t="shared" ref="D136:K136" si="46">D134*D122</f>
        <v>0</v>
      </c>
      <c r="E136" s="94">
        <f t="shared" si="46"/>
        <v>0</v>
      </c>
      <c r="F136" s="94">
        <f t="shared" si="46"/>
        <v>0</v>
      </c>
      <c r="G136" s="94">
        <f t="shared" si="46"/>
        <v>0</v>
      </c>
      <c r="H136" s="94">
        <f t="shared" si="46"/>
        <v>0</v>
      </c>
      <c r="I136" s="94">
        <f t="shared" si="46"/>
        <v>0</v>
      </c>
      <c r="J136" s="94">
        <f t="shared" si="46"/>
        <v>0</v>
      </c>
      <c r="K136" s="94">
        <f t="shared" si="46"/>
        <v>0</v>
      </c>
      <c r="L136" s="93">
        <f>SUM(D136:INDEX(D136:K136,0,MATCH('RFPR cover'!$C$7,$D$6:$K$6,0)))</f>
        <v>0</v>
      </c>
      <c r="M136" s="95">
        <f>SUM(D136:K136)</f>
        <v>0</v>
      </c>
    </row>
    <row r="137" spans="1:20">
      <c r="A137" s="35"/>
      <c r="B137" s="777" t="s">
        <v>309</v>
      </c>
      <c r="C137" s="157" t="s">
        <v>128</v>
      </c>
      <c r="D137" s="90">
        <f t="shared" ref="D137:K137" si="47">D134*(1-D122)</f>
        <v>0</v>
      </c>
      <c r="E137" s="91">
        <f t="shared" si="47"/>
        <v>0</v>
      </c>
      <c r="F137" s="91">
        <f t="shared" si="47"/>
        <v>0</v>
      </c>
      <c r="G137" s="91">
        <f t="shared" si="47"/>
        <v>0</v>
      </c>
      <c r="H137" s="91">
        <f t="shared" si="47"/>
        <v>0</v>
      </c>
      <c r="I137" s="91">
        <f t="shared" si="47"/>
        <v>0</v>
      </c>
      <c r="J137" s="91">
        <f t="shared" si="47"/>
        <v>0</v>
      </c>
      <c r="K137" s="91">
        <f t="shared" si="47"/>
        <v>0</v>
      </c>
      <c r="L137" s="90">
        <f>SUM(D137:INDEX(D137:K137,0,MATCH('RFPR cover'!$C$7,$D$6:$K$6,0)))</f>
        <v>0</v>
      </c>
      <c r="M137" s="92">
        <f>SUM(D137:K137)</f>
        <v>0</v>
      </c>
    </row>
    <row r="138" spans="1:20">
      <c r="A138" s="35"/>
      <c r="B138" s="770"/>
    </row>
    <row r="139" spans="1:20">
      <c r="A139" s="35"/>
      <c r="B139" s="778" t="s">
        <v>181</v>
      </c>
    </row>
    <row r="140" spans="1:20">
      <c r="A140" s="35"/>
      <c r="B140" s="770" t="s">
        <v>180</v>
      </c>
      <c r="C140" s="153" t="s">
        <v>128</v>
      </c>
      <c r="D140" s="93">
        <f>D124+D136</f>
        <v>0</v>
      </c>
      <c r="E140" s="94">
        <f t="shared" ref="E140:K140" si="48">E124+E136</f>
        <v>0</v>
      </c>
      <c r="F140" s="94">
        <f t="shared" si="48"/>
        <v>0</v>
      </c>
      <c r="G140" s="94">
        <f t="shared" si="48"/>
        <v>0</v>
      </c>
      <c r="H140" s="94">
        <f t="shared" si="48"/>
        <v>0</v>
      </c>
      <c r="I140" s="94">
        <f t="shared" si="48"/>
        <v>0</v>
      </c>
      <c r="J140" s="94">
        <f t="shared" si="48"/>
        <v>0</v>
      </c>
      <c r="K140" s="94">
        <f t="shared" si="48"/>
        <v>0</v>
      </c>
      <c r="L140" s="93">
        <f>SUM(D140:INDEX(D140:K140,0,MATCH('RFPR cover'!$C$7,$D$6:$K$6,0)))</f>
        <v>0</v>
      </c>
      <c r="M140" s="95">
        <f>SUM(D140:K140)</f>
        <v>0</v>
      </c>
    </row>
    <row r="141" spans="1:20">
      <c r="A141" s="35"/>
      <c r="B141" s="770" t="s">
        <v>280</v>
      </c>
      <c r="C141" s="153" t="s">
        <v>128</v>
      </c>
      <c r="D141" s="96">
        <f>D125+D137</f>
        <v>0</v>
      </c>
      <c r="E141" s="97">
        <f t="shared" ref="E141:K141" si="49">E125+E137</f>
        <v>0</v>
      </c>
      <c r="F141" s="97">
        <f t="shared" si="49"/>
        <v>0</v>
      </c>
      <c r="G141" s="97">
        <f t="shared" si="49"/>
        <v>0</v>
      </c>
      <c r="H141" s="97">
        <f t="shared" si="49"/>
        <v>0</v>
      </c>
      <c r="I141" s="97">
        <f t="shared" si="49"/>
        <v>0</v>
      </c>
      <c r="J141" s="97">
        <f t="shared" si="49"/>
        <v>0</v>
      </c>
      <c r="K141" s="97">
        <f t="shared" si="49"/>
        <v>0</v>
      </c>
      <c r="L141" s="96">
        <f>SUM(D141:INDEX(D141:K141,0,MATCH('RFPR cover'!$C$7,$D$6:$K$6,0)))</f>
        <v>0</v>
      </c>
      <c r="M141" s="98">
        <f>SUM(D141:K141)</f>
        <v>0</v>
      </c>
    </row>
    <row r="142" spans="1:20">
      <c r="A142" s="35"/>
      <c r="B142" s="778" t="s">
        <v>11</v>
      </c>
      <c r="C142" s="154" t="s">
        <v>128</v>
      </c>
      <c r="D142" s="137">
        <f>SUM(D140:D141)</f>
        <v>0</v>
      </c>
      <c r="E142" s="138">
        <f t="shared" ref="E142:K142" si="50">SUM(E140:E141)</f>
        <v>0</v>
      </c>
      <c r="F142" s="138">
        <f t="shared" si="50"/>
        <v>0</v>
      </c>
      <c r="G142" s="138">
        <f t="shared" si="50"/>
        <v>0</v>
      </c>
      <c r="H142" s="138">
        <f t="shared" si="50"/>
        <v>0</v>
      </c>
      <c r="I142" s="138">
        <f t="shared" si="50"/>
        <v>0</v>
      </c>
      <c r="J142" s="138">
        <f t="shared" si="50"/>
        <v>0</v>
      </c>
      <c r="K142" s="138">
        <f t="shared" si="50"/>
        <v>0</v>
      </c>
      <c r="L142" s="137">
        <f>SUM(D142:INDEX(D142:K142,0,MATCH('RFPR cover'!$C$7,$D$6:$K$6,0)))</f>
        <v>0</v>
      </c>
      <c r="M142" s="139">
        <f>SUM(D142:K142)</f>
        <v>0</v>
      </c>
    </row>
    <row r="143" spans="1:20">
      <c r="A143" s="35"/>
      <c r="B143" s="778"/>
      <c r="C143" s="154"/>
      <c r="D143" s="154"/>
      <c r="E143" s="154"/>
      <c r="F143" s="154"/>
      <c r="G143" s="154"/>
      <c r="H143" s="154"/>
      <c r="I143" s="154"/>
      <c r="J143" s="154"/>
      <c r="K143" s="154"/>
      <c r="L143" s="154"/>
      <c r="M143" s="154"/>
    </row>
    <row r="144" spans="1:20">
      <c r="A144" s="35"/>
      <c r="B144" s="773" t="s">
        <v>257</v>
      </c>
      <c r="C144" s="148"/>
      <c r="D144" s="82"/>
      <c r="E144" s="82"/>
      <c r="F144" s="82"/>
      <c r="G144" s="82"/>
      <c r="H144" s="82"/>
      <c r="I144" s="82"/>
      <c r="J144" s="82"/>
      <c r="K144" s="82"/>
      <c r="L144" s="82"/>
      <c r="M144" s="82"/>
      <c r="N144" s="82"/>
    </row>
    <row r="145" spans="1:20">
      <c r="A145" s="35"/>
      <c r="B145" s="770"/>
      <c r="O145"/>
      <c r="P145"/>
      <c r="Q145"/>
      <c r="R145"/>
      <c r="S145"/>
      <c r="T145"/>
    </row>
    <row r="146" spans="1:20">
      <c r="A146" s="35"/>
      <c r="B146" s="778" t="s">
        <v>181</v>
      </c>
    </row>
    <row r="147" spans="1:20">
      <c r="A147" s="35"/>
      <c r="B147" s="770" t="s">
        <v>180</v>
      </c>
      <c r="C147" s="153" t="s">
        <v>128</v>
      </c>
      <c r="D147" s="93">
        <f>D112+D140</f>
        <v>-10.706046259593524</v>
      </c>
      <c r="E147" s="94">
        <f t="shared" ref="E147:K147" si="51">E112+E140</f>
        <v>-6.9426155085559049</v>
      </c>
      <c r="F147" s="94">
        <f t="shared" si="51"/>
        <v>-3.5775591063555892</v>
      </c>
      <c r="G147" s="94">
        <f t="shared" si="51"/>
        <v>10.726402040750779</v>
      </c>
      <c r="H147" s="94">
        <f t="shared" si="51"/>
        <v>13.254786520005586</v>
      </c>
      <c r="I147" s="94">
        <f t="shared" si="51"/>
        <v>5.4646775805603047</v>
      </c>
      <c r="J147" s="94">
        <f t="shared" si="51"/>
        <v>-9.3242892294386639</v>
      </c>
      <c r="K147" s="94">
        <f t="shared" si="51"/>
        <v>-9.9351074715179077</v>
      </c>
      <c r="L147" s="93">
        <f>SUM(D147:INDEX(D147:K147,0,MATCH('RFPR cover'!$C$7,$D$6:$K$6,0)))</f>
        <v>2.7549676862513444</v>
      </c>
      <c r="M147" s="95">
        <f>SUM(D147:K147)</f>
        <v>-11.039751434144922</v>
      </c>
    </row>
    <row r="148" spans="1:20">
      <c r="A148" s="35"/>
      <c r="B148" s="770" t="s">
        <v>280</v>
      </c>
      <c r="C148" s="153" t="s">
        <v>128</v>
      </c>
      <c r="D148" s="96">
        <f t="shared" ref="D148:K148" si="52">D113+D141</f>
        <v>-24.980774605718221</v>
      </c>
      <c r="E148" s="97">
        <f t="shared" si="52"/>
        <v>-16.199436186630443</v>
      </c>
      <c r="F148" s="97">
        <f t="shared" si="52"/>
        <v>-8.347637914829706</v>
      </c>
      <c r="G148" s="97">
        <f>G113+G141</f>
        <v>25.028271428418478</v>
      </c>
      <c r="H148" s="97">
        <f t="shared" si="52"/>
        <v>30.927835213346359</v>
      </c>
      <c r="I148" s="97">
        <f t="shared" si="52"/>
        <v>12.750914354640708</v>
      </c>
      <c r="J148" s="97">
        <f t="shared" si="52"/>
        <v>-21.756674868690212</v>
      </c>
      <c r="K148" s="97">
        <f t="shared" si="52"/>
        <v>-23.181917433541781</v>
      </c>
      <c r="L148" s="96">
        <f>SUM(D148:INDEX(D148:K148,0,MATCH('RFPR cover'!$C$7,$D$6:$K$6,0)))</f>
        <v>6.4282579345864725</v>
      </c>
      <c r="M148" s="98">
        <f>SUM(D148:K148)</f>
        <v>-25.75942001300481</v>
      </c>
    </row>
    <row r="149" spans="1:20">
      <c r="A149" s="35"/>
      <c r="B149" s="778" t="s">
        <v>11</v>
      </c>
      <c r="C149" s="154" t="s">
        <v>128</v>
      </c>
      <c r="D149" s="137">
        <f>SUM(D147:D148)</f>
        <v>-35.686820865311745</v>
      </c>
      <c r="E149" s="138">
        <f t="shared" ref="E149:K149" si="53">SUM(E147:E148)</f>
        <v>-23.142051695186346</v>
      </c>
      <c r="F149" s="138">
        <f t="shared" si="53"/>
        <v>-11.925197021185294</v>
      </c>
      <c r="G149" s="138">
        <f t="shared" si="53"/>
        <v>35.754673469169255</v>
      </c>
      <c r="H149" s="138">
        <f t="shared" si="53"/>
        <v>44.182621733351944</v>
      </c>
      <c r="I149" s="138">
        <f t="shared" si="53"/>
        <v>18.215591935201012</v>
      </c>
      <c r="J149" s="138">
        <f t="shared" si="53"/>
        <v>-31.080964098128874</v>
      </c>
      <c r="K149" s="138">
        <f t="shared" si="53"/>
        <v>-33.117024905059687</v>
      </c>
      <c r="L149" s="137">
        <f>SUM(D149:INDEX(D149:K149,0,MATCH('RFPR cover'!$C$7,$D$6:$K$6,0)))</f>
        <v>9.1832256208378169</v>
      </c>
      <c r="M149" s="139">
        <f>SUM(D149:K149)</f>
        <v>-36.799171447149732</v>
      </c>
    </row>
    <row r="150" spans="1:20">
      <c r="A150" s="35"/>
      <c r="B150" s="777"/>
      <c r="D150" s="134"/>
      <c r="E150" s="134"/>
      <c r="F150" s="134"/>
      <c r="G150" s="134"/>
      <c r="H150" s="134"/>
      <c r="I150" s="134"/>
      <c r="J150" s="134"/>
      <c r="K150" s="134"/>
    </row>
    <row r="151" spans="1:20">
      <c r="A151" s="35"/>
      <c r="B151" s="770"/>
    </row>
    <row r="152" spans="1:20">
      <c r="A152" s="82"/>
      <c r="B152" s="769"/>
      <c r="C152" s="148"/>
      <c r="D152" s="82"/>
      <c r="E152" s="82"/>
      <c r="F152" s="82"/>
      <c r="G152" s="82"/>
      <c r="H152" s="82"/>
      <c r="I152" s="82"/>
      <c r="J152" s="82"/>
      <c r="K152" s="82"/>
      <c r="L152" s="82"/>
      <c r="M152" s="82"/>
      <c r="N152" s="82"/>
    </row>
    <row r="153" spans="1:20">
      <c r="B153" s="770"/>
    </row>
    <row r="154" spans="1:20">
      <c r="B154" s="770"/>
    </row>
  </sheetData>
  <mergeCells count="4">
    <mergeCell ref="O14:Q14"/>
    <mergeCell ref="O42:Q42"/>
    <mergeCell ref="O92:Q92"/>
    <mergeCell ref="O120:Q120"/>
  </mergeCells>
  <conditionalFormatting sqref="D6:K6">
    <cfRule type="expression" dxfId="48" priority="7">
      <formula>AND(D$5="Actuals",E$5="Forecast")</formula>
    </cfRule>
  </conditionalFormatting>
  <conditionalFormatting sqref="B118:M142">
    <cfRule type="expression" dxfId="47" priority="3">
      <formula>$B$38="n/a"</formula>
    </cfRule>
  </conditionalFormatting>
  <conditionalFormatting sqref="D5:K5">
    <cfRule type="expression" dxfId="46" priority="2">
      <formula>AND(D$5="Actuals",E$5="Forecast")</formula>
    </cfRule>
  </conditionalFormatting>
  <conditionalFormatting sqref="B38:N64">
    <cfRule type="expression" dxfId="45"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pageSetUpPr fitToPage="1"/>
  </sheetPr>
  <dimension ref="A1:P114"/>
  <sheetViews>
    <sheetView showGridLines="0" zoomScale="70" zoomScaleNormal="70" workbookViewId="0">
      <pane ySplit="6" topLeftCell="A7" activePane="bottomLeft" state="frozen"/>
      <selection activeCell="B75" sqref="A1:XFD1048576"/>
      <selection pane="bottomLeft" activeCell="H6" sqref="H6"/>
    </sheetView>
  </sheetViews>
  <sheetFormatPr defaultRowHeight="12.6"/>
  <cols>
    <col min="1" max="1" width="8.36328125" customWidth="1"/>
    <col min="2" max="2" width="71.36328125" bestFit="1" customWidth="1"/>
    <col min="3" max="3" width="13.36328125" style="134" customWidth="1"/>
    <col min="4" max="11" width="11.08984375" customWidth="1"/>
    <col min="12" max="12" width="12.90625" customWidth="1"/>
    <col min="13" max="13" width="12.7265625" customWidth="1"/>
    <col min="14" max="14" width="5" customWidth="1"/>
  </cols>
  <sheetData>
    <row r="1" spans="1:14" s="37" customFormat="1" ht="21">
      <c r="A1" s="924" t="s">
        <v>262</v>
      </c>
      <c r="B1" s="925"/>
      <c r="C1" s="151"/>
      <c r="D1" s="129"/>
      <c r="E1" s="129"/>
      <c r="F1" s="129"/>
      <c r="G1" s="129"/>
      <c r="H1" s="129"/>
      <c r="I1" s="125"/>
      <c r="J1" s="125"/>
      <c r="K1" s="125"/>
      <c r="L1" s="125"/>
      <c r="M1" s="125"/>
      <c r="N1" s="126"/>
    </row>
    <row r="2" spans="1:14" s="37" customFormat="1" ht="21">
      <c r="A2" s="926" t="str">
        <f>'RFPR cover'!C5</f>
        <v>WPD-WMID</v>
      </c>
      <c r="B2" s="927"/>
      <c r="C2" s="152"/>
      <c r="D2" s="36"/>
      <c r="E2" s="36"/>
      <c r="F2" s="36"/>
      <c r="G2" s="36"/>
      <c r="H2" s="36"/>
      <c r="I2" s="27"/>
      <c r="J2" s="27"/>
      <c r="K2" s="27"/>
      <c r="L2" s="27"/>
      <c r="M2" s="27"/>
      <c r="N2" s="121"/>
    </row>
    <row r="3" spans="1:14" s="37" customFormat="1" ht="21">
      <c r="A3" s="928">
        <f>'RFPR cover'!C7</f>
        <v>2020</v>
      </c>
      <c r="B3" s="929"/>
      <c r="C3" s="133"/>
      <c r="D3" s="130"/>
      <c r="E3" s="130"/>
      <c r="F3" s="130"/>
      <c r="G3" s="130"/>
      <c r="H3" s="130"/>
      <c r="I3" s="28"/>
      <c r="J3" s="28"/>
      <c r="K3" s="28"/>
      <c r="L3" s="28"/>
      <c r="M3" s="28"/>
      <c r="N3" s="123"/>
    </row>
    <row r="4" spans="1:14" s="2" customFormat="1" ht="12.75" customHeight="1">
      <c r="B4" s="3"/>
      <c r="C4" s="134"/>
    </row>
    <row r="5" spans="1:14" s="2" customFormat="1" ht="12.75" customHeight="1">
      <c r="B5" s="3"/>
      <c r="C5" s="134"/>
      <c r="D5" s="385" t="str">
        <f>IF(D6&lt;='RFPR cover'!$C$7,"Actuals","Forecast")</f>
        <v>Actuals</v>
      </c>
      <c r="E5" s="386" t="str">
        <f>IF(E6&lt;='RFPR cover'!$C$7,"Actuals","Forecast")</f>
        <v>Actuals</v>
      </c>
      <c r="F5" s="386" t="str">
        <f>IF(F6&lt;='RFPR cover'!$C$7,"Actuals","Forecast")</f>
        <v>Actuals</v>
      </c>
      <c r="G5" s="386" t="str">
        <f>IF(G6&lt;='RFPR cover'!$C$7,"Actuals","Forecast")</f>
        <v>Actuals</v>
      </c>
      <c r="H5" s="386" t="str">
        <f>IF(H6&lt;='RFPR cover'!$C$7,"Actuals","Forecast")</f>
        <v>Actuals</v>
      </c>
      <c r="I5" s="386" t="str">
        <f>IF(I6&lt;='RFPR cover'!$C$7,"Actuals","Forecast")</f>
        <v>Forecast</v>
      </c>
      <c r="J5" s="386" t="str">
        <f>IF(J6&lt;='RFPR cover'!$C$7,"Actuals","Forecast")</f>
        <v>Forecast</v>
      </c>
      <c r="K5" s="387" t="str">
        <f>IF(K6&lt;='RFPR cover'!$C$7,"Actuals","Forecast")</f>
        <v>Forecast</v>
      </c>
    </row>
    <row r="6" spans="1:14" s="2" customFormat="1" ht="29.25" customHeight="1">
      <c r="C6" s="134"/>
      <c r="D6" s="115">
        <f>'RFPR cover'!$C$13</f>
        <v>2016</v>
      </c>
      <c r="E6" s="116">
        <f>D6+1</f>
        <v>2017</v>
      </c>
      <c r="F6" s="116">
        <f t="shared" ref="F6:K6" si="0">E6+1</f>
        <v>2018</v>
      </c>
      <c r="G6" s="116">
        <f t="shared" si="0"/>
        <v>2019</v>
      </c>
      <c r="H6" s="116">
        <f t="shared" si="0"/>
        <v>2020</v>
      </c>
      <c r="I6" s="116">
        <f t="shared" si="0"/>
        <v>2021</v>
      </c>
      <c r="J6" s="116">
        <f t="shared" si="0"/>
        <v>2022</v>
      </c>
      <c r="K6" s="116">
        <f t="shared" si="0"/>
        <v>2023</v>
      </c>
      <c r="L6" s="99" t="str">
        <f>"Cumulative to "&amp;'RFPR cover'!$C$7</f>
        <v>Cumulative to 2020</v>
      </c>
      <c r="M6" s="117" t="s">
        <v>109</v>
      </c>
    </row>
    <row r="7" spans="1:14" s="2" customFormat="1">
      <c r="A7" s="35"/>
      <c r="C7" s="134"/>
    </row>
    <row r="8" spans="1:14" s="2" customFormat="1">
      <c r="A8" s="35"/>
      <c r="B8" s="114" t="s">
        <v>199</v>
      </c>
      <c r="C8" s="148"/>
      <c r="D8" s="81"/>
      <c r="E8" s="81"/>
      <c r="F8" s="81"/>
      <c r="G8" s="81"/>
      <c r="H8" s="81"/>
      <c r="I8" s="81"/>
      <c r="J8" s="81"/>
      <c r="K8" s="81"/>
      <c r="L8" s="81"/>
      <c r="M8" s="81"/>
      <c r="N8" s="81"/>
    </row>
    <row r="9" spans="1:14" s="2" customFormat="1">
      <c r="A9" s="35"/>
      <c r="B9" s="363" t="s">
        <v>391</v>
      </c>
      <c r="C9" s="363"/>
      <c r="D9" s="363"/>
      <c r="E9" s="363"/>
      <c r="F9" s="363"/>
      <c r="G9" s="363"/>
      <c r="H9" s="363"/>
      <c r="I9" s="363"/>
      <c r="J9" s="363"/>
      <c r="K9" s="363"/>
      <c r="L9" s="363"/>
      <c r="M9" s="363"/>
      <c r="N9" s="363"/>
    </row>
    <row r="10" spans="1:14" s="2" customFormat="1">
      <c r="A10" s="35"/>
      <c r="B10" s="12"/>
      <c r="C10" s="134"/>
    </row>
    <row r="11" spans="1:14" s="2" customFormat="1">
      <c r="A11" s="222" t="s">
        <v>151</v>
      </c>
      <c r="B11" s="35" t="str">
        <f>Data!B153</f>
        <v>Broad measure of customer service</v>
      </c>
      <c r="C11" s="153" t="str">
        <f>'RFPR cover'!$C$14</f>
        <v>£m 12/13</v>
      </c>
      <c r="D11" s="590">
        <v>5.2980018966853626</v>
      </c>
      <c r="E11" s="591">
        <v>5.1440000000000019</v>
      </c>
      <c r="F11" s="591">
        <v>5.3868300000000016</v>
      </c>
      <c r="G11" s="591">
        <v>5.6757500000000016</v>
      </c>
      <c r="H11" s="591">
        <v>5.8166666666666664</v>
      </c>
      <c r="I11" s="591">
        <v>5.7040833333333314</v>
      </c>
      <c r="J11" s="591">
        <v>5.7040833333333314</v>
      </c>
      <c r="K11" s="591">
        <v>5.7040833333333314</v>
      </c>
      <c r="L11" s="667">
        <f>SUM(D11:INDEX(D11:K11,0,MATCH('RFPR cover'!$C$7,$D$6:$K$6,0)))</f>
        <v>27.321248563352036</v>
      </c>
      <c r="M11" s="668">
        <f t="shared" ref="M11:M17" si="1">SUM(D11:K11)</f>
        <v>44.433498563352025</v>
      </c>
    </row>
    <row r="12" spans="1:14" s="2" customFormat="1">
      <c r="A12" s="222" t="s">
        <v>152</v>
      </c>
      <c r="B12" s="35" t="str">
        <f>Data!B154</f>
        <v>Interruptions-related quality of service</v>
      </c>
      <c r="C12" s="153" t="str">
        <f>'RFPR cover'!$C$14</f>
        <v>£m 12/13</v>
      </c>
      <c r="D12" s="592">
        <v>17.7</v>
      </c>
      <c r="E12" s="593">
        <v>17.7</v>
      </c>
      <c r="F12" s="593">
        <v>17.7</v>
      </c>
      <c r="G12" s="593">
        <v>17.7</v>
      </c>
      <c r="H12" s="593">
        <v>17.7</v>
      </c>
      <c r="I12" s="593">
        <v>17.7</v>
      </c>
      <c r="J12" s="593">
        <v>17.7</v>
      </c>
      <c r="K12" s="593">
        <v>17.7</v>
      </c>
      <c r="L12" s="671">
        <f>SUM(D12:INDEX(D12:K12,0,MATCH('RFPR cover'!$C$7,$D$6:$K$6,0)))</f>
        <v>88.5</v>
      </c>
      <c r="M12" s="672">
        <f t="shared" si="1"/>
        <v>141.6</v>
      </c>
    </row>
    <row r="13" spans="1:14" s="2" customFormat="1">
      <c r="A13" s="222" t="s">
        <v>153</v>
      </c>
      <c r="B13" s="35" t="str">
        <f>Data!B155</f>
        <v>Incentive on connections engagement</v>
      </c>
      <c r="C13" s="153" t="str">
        <f>'RFPR cover'!$C$14</f>
        <v>£m 12/13</v>
      </c>
      <c r="D13" s="592">
        <v>0</v>
      </c>
      <c r="E13" s="593">
        <v>0</v>
      </c>
      <c r="F13" s="593">
        <v>0</v>
      </c>
      <c r="G13" s="593">
        <v>0</v>
      </c>
      <c r="H13" s="593">
        <v>0</v>
      </c>
      <c r="I13" s="593">
        <v>0</v>
      </c>
      <c r="J13" s="593">
        <v>0</v>
      </c>
      <c r="K13" s="593">
        <v>0</v>
      </c>
      <c r="L13" s="671">
        <f>SUM(D13:INDEX(D13:K13,0,MATCH('RFPR cover'!$C$7,$D$6:$K$6,0)))</f>
        <v>0</v>
      </c>
      <c r="M13" s="672">
        <f t="shared" si="1"/>
        <v>0</v>
      </c>
    </row>
    <row r="14" spans="1:14" s="2" customFormat="1">
      <c r="A14" s="222" t="s">
        <v>168</v>
      </c>
      <c r="B14" s="35" t="str">
        <f>Data!B156</f>
        <v>Time to Connect Incentive</v>
      </c>
      <c r="C14" s="153" t="str">
        <f>'RFPR cover'!$C$14</f>
        <v>£m 12/13</v>
      </c>
      <c r="D14" s="592">
        <v>1.3474000000000002</v>
      </c>
      <c r="E14" s="593">
        <v>1.1517129318237314</v>
      </c>
      <c r="F14" s="593">
        <v>1.5726000000000002</v>
      </c>
      <c r="G14" s="593">
        <v>1.6</v>
      </c>
      <c r="H14" s="593">
        <v>1.5291773666473396</v>
      </c>
      <c r="I14" s="593">
        <v>1.3425171080785119</v>
      </c>
      <c r="J14" s="593">
        <v>1.3425171080785119</v>
      </c>
      <c r="K14" s="593">
        <v>1.3425171080785119</v>
      </c>
      <c r="L14" s="671">
        <f>SUM(D14:INDEX(D14:K14,0,MATCH('RFPR cover'!$C$7,$D$6:$K$6,0)))</f>
        <v>7.2008902984710721</v>
      </c>
      <c r="M14" s="672">
        <f t="shared" si="1"/>
        <v>11.228441622706608</v>
      </c>
    </row>
    <row r="15" spans="1:14" s="2" customFormat="1">
      <c r="A15" s="222" t="s">
        <v>169</v>
      </c>
      <c r="B15" s="35" t="str">
        <f>Data!B157</f>
        <v>Losses discretionary reward scheme</v>
      </c>
      <c r="C15" s="153" t="str">
        <f>'RFPR cover'!$C$14</f>
        <v>£m 12/13</v>
      </c>
      <c r="D15" s="592">
        <v>0</v>
      </c>
      <c r="E15" s="593">
        <v>0.04</v>
      </c>
      <c r="F15" s="593">
        <v>0</v>
      </c>
      <c r="G15" s="593">
        <v>0</v>
      </c>
      <c r="H15" s="593">
        <v>0</v>
      </c>
      <c r="I15" s="593">
        <v>0</v>
      </c>
      <c r="J15" s="593">
        <v>0</v>
      </c>
      <c r="K15" s="593">
        <v>0</v>
      </c>
      <c r="L15" s="671">
        <f>SUM(D15:INDEX(D15:K15,0,MATCH('RFPR cover'!$C$7,$D$6:$K$6,0)))</f>
        <v>0.04</v>
      </c>
      <c r="M15" s="672">
        <f t="shared" si="1"/>
        <v>0.04</v>
      </c>
    </row>
    <row r="16" spans="1:14" s="2" customFormat="1">
      <c r="A16" s="222" t="s">
        <v>170</v>
      </c>
      <c r="B16" s="35" t="str">
        <f>Data!B158</f>
        <v/>
      </c>
      <c r="C16" s="153" t="str">
        <f>'RFPR cover'!$C$14</f>
        <v>£m 12/13</v>
      </c>
      <c r="D16" s="592"/>
      <c r="E16" s="593"/>
      <c r="F16" s="593"/>
      <c r="G16" s="593"/>
      <c r="H16" s="593"/>
      <c r="I16" s="593"/>
      <c r="J16" s="593"/>
      <c r="K16" s="593"/>
      <c r="L16" s="671">
        <f>SUM(D16:INDEX(D16:K16,0,MATCH('RFPR cover'!$C$7,$D$6:$K$6,0)))</f>
        <v>0</v>
      </c>
      <c r="M16" s="672">
        <f t="shared" si="1"/>
        <v>0</v>
      </c>
    </row>
    <row r="17" spans="1:16" s="2" customFormat="1">
      <c r="A17" s="222" t="s">
        <v>479</v>
      </c>
      <c r="B17" s="35" t="str">
        <f>Data!B159</f>
        <v/>
      </c>
      <c r="C17" s="153" t="str">
        <f>'RFPR cover'!$C$14</f>
        <v>£m 12/13</v>
      </c>
      <c r="D17" s="844"/>
      <c r="E17" s="845"/>
      <c r="F17" s="845"/>
      <c r="G17" s="845"/>
      <c r="H17" s="845"/>
      <c r="I17" s="845"/>
      <c r="J17" s="845"/>
      <c r="K17" s="846"/>
      <c r="L17" s="671">
        <f>SUM(D17:INDEX(D17:K17,0,MATCH('RFPR cover'!$C$7,$D$6:$K$6,0)))</f>
        <v>0</v>
      </c>
      <c r="M17" s="672">
        <f t="shared" si="1"/>
        <v>0</v>
      </c>
    </row>
    <row r="18" spans="1:16" s="2" customFormat="1">
      <c r="A18" s="35"/>
      <c r="B18" s="12" t="s">
        <v>203</v>
      </c>
      <c r="C18" s="154" t="str">
        <f>'RFPR cover'!$C$14</f>
        <v>£m 12/13</v>
      </c>
      <c r="D18" s="606">
        <f>SUM(D11:D17)</f>
        <v>24.345401896685363</v>
      </c>
      <c r="E18" s="606">
        <f t="shared" ref="E18:K18" si="2">SUM(E11:E17)</f>
        <v>24.035712931823731</v>
      </c>
      <c r="F18" s="606">
        <f t="shared" si="2"/>
        <v>24.65943</v>
      </c>
      <c r="G18" s="606">
        <f t="shared" si="2"/>
        <v>24.975750000000001</v>
      </c>
      <c r="H18" s="606">
        <f t="shared" si="2"/>
        <v>25.045844033314005</v>
      </c>
      <c r="I18" s="606">
        <f t="shared" si="2"/>
        <v>24.746600441411843</v>
      </c>
      <c r="J18" s="606">
        <f t="shared" si="2"/>
        <v>24.746600441411843</v>
      </c>
      <c r="K18" s="606">
        <f t="shared" si="2"/>
        <v>24.746600441411843</v>
      </c>
      <c r="L18" s="606">
        <f>SUM(L11:L17)</f>
        <v>123.06213886182312</v>
      </c>
      <c r="M18" s="606">
        <f>SUM(M11:M17)</f>
        <v>197.30194018605863</v>
      </c>
    </row>
    <row r="19" spans="1:16" s="2" customFormat="1">
      <c r="A19" s="35"/>
      <c r="B19" s="12"/>
      <c r="C19" s="154"/>
      <c r="D19" s="154"/>
      <c r="E19" s="154"/>
      <c r="F19" s="154"/>
      <c r="G19" s="154"/>
      <c r="H19" s="154"/>
      <c r="I19" s="154"/>
      <c r="J19" s="154"/>
      <c r="K19" s="154"/>
      <c r="L19" s="154"/>
      <c r="M19" s="154"/>
    </row>
    <row r="20" spans="1:16" s="2" customFormat="1">
      <c r="A20" s="35"/>
      <c r="B20" s="12" t="s">
        <v>373</v>
      </c>
      <c r="C20" s="154"/>
      <c r="D20" s="154"/>
      <c r="E20" s="154"/>
      <c r="F20" s="154"/>
      <c r="G20" s="154"/>
      <c r="H20" s="154"/>
      <c r="I20" s="154"/>
      <c r="J20" s="154"/>
      <c r="K20" s="154"/>
      <c r="L20" s="154"/>
      <c r="M20" s="154"/>
    </row>
    <row r="21" spans="1:16" s="2" customFormat="1">
      <c r="A21" s="267" t="str">
        <f>A11</f>
        <v>a</v>
      </c>
      <c r="B21" s="1008" t="s">
        <v>623</v>
      </c>
      <c r="C21" s="1008"/>
      <c r="D21" s="1008"/>
      <c r="E21" s="1008"/>
      <c r="F21" s="1008"/>
      <c r="G21" s="1008"/>
      <c r="H21" s="1008"/>
      <c r="I21" s="1008"/>
      <c r="J21" s="1008"/>
      <c r="K21" s="1008"/>
      <c r="L21" s="1008"/>
      <c r="M21" s="1008"/>
    </row>
    <row r="22" spans="1:16" s="2" customFormat="1">
      <c r="A22" s="267" t="str">
        <f>A12</f>
        <v>b</v>
      </c>
      <c r="B22" s="1008"/>
      <c r="C22" s="1008"/>
      <c r="D22" s="1008"/>
      <c r="E22" s="1008"/>
      <c r="F22" s="1008"/>
      <c r="G22" s="1008"/>
      <c r="H22" s="1008"/>
      <c r="I22" s="1008"/>
      <c r="J22" s="1008"/>
      <c r="K22" s="1008"/>
      <c r="L22" s="1008"/>
      <c r="M22" s="1008"/>
    </row>
    <row r="23" spans="1:16" s="2" customFormat="1">
      <c r="A23" s="267" t="str">
        <f>A13</f>
        <v>c</v>
      </c>
      <c r="B23" s="1008"/>
      <c r="C23" s="1008"/>
      <c r="D23" s="1008"/>
      <c r="E23" s="1008"/>
      <c r="F23" s="1008"/>
      <c r="G23" s="1008"/>
      <c r="H23" s="1008"/>
      <c r="I23" s="1008"/>
      <c r="J23" s="1008"/>
      <c r="K23" s="1008"/>
      <c r="L23" s="1008"/>
      <c r="M23" s="1008"/>
    </row>
    <row r="24" spans="1:16" s="2" customFormat="1">
      <c r="A24" s="267" t="str">
        <f>A14</f>
        <v>d</v>
      </c>
      <c r="B24" s="1008"/>
      <c r="C24" s="1008"/>
      <c r="D24" s="1008"/>
      <c r="E24" s="1008"/>
      <c r="F24" s="1008"/>
      <c r="G24" s="1008"/>
      <c r="H24" s="1008"/>
      <c r="I24" s="1008"/>
      <c r="J24" s="1008"/>
      <c r="K24" s="1008"/>
      <c r="L24" s="1008"/>
      <c r="M24" s="1008"/>
    </row>
    <row r="25" spans="1:16" s="2" customFormat="1">
      <c r="A25" s="267" t="str">
        <f>A15</f>
        <v>e</v>
      </c>
      <c r="B25" s="1008"/>
      <c r="C25" s="1008"/>
      <c r="D25" s="1008"/>
      <c r="E25" s="1008"/>
      <c r="F25" s="1008"/>
      <c r="G25" s="1008"/>
      <c r="H25" s="1008"/>
      <c r="I25" s="1008"/>
      <c r="J25" s="1008"/>
      <c r="K25" s="1008"/>
      <c r="L25" s="1008"/>
      <c r="M25" s="1008"/>
    </row>
    <row r="26" spans="1:16" s="2" customFormat="1">
      <c r="A26" s="267" t="s">
        <v>170</v>
      </c>
      <c r="B26" s="939"/>
      <c r="C26" s="939"/>
      <c r="D26" s="939"/>
      <c r="E26" s="939"/>
      <c r="F26" s="939"/>
      <c r="G26" s="939"/>
      <c r="H26" s="939"/>
      <c r="I26" s="939"/>
      <c r="J26" s="939"/>
      <c r="K26" s="939"/>
      <c r="L26" s="939"/>
      <c r="M26" s="939"/>
    </row>
    <row r="27" spans="1:16" s="2" customFormat="1">
      <c r="A27" s="267" t="s">
        <v>479</v>
      </c>
      <c r="B27" s="939"/>
      <c r="C27" s="939"/>
      <c r="D27" s="939"/>
      <c r="E27" s="939"/>
      <c r="F27" s="939"/>
      <c r="G27" s="939"/>
      <c r="H27" s="939"/>
      <c r="I27" s="939"/>
      <c r="J27" s="939"/>
      <c r="K27" s="939"/>
      <c r="L27" s="939"/>
      <c r="M27" s="939"/>
    </row>
    <row r="28" spans="1:16" s="529" customFormat="1">
      <c r="A28" s="38"/>
      <c r="B28" s="533"/>
      <c r="C28" s="533"/>
      <c r="D28" s="533"/>
      <c r="E28" s="533"/>
      <c r="F28" s="533"/>
      <c r="G28" s="533"/>
      <c r="H28" s="533"/>
      <c r="I28" s="533"/>
      <c r="J28" s="533"/>
      <c r="K28" s="533"/>
      <c r="L28" s="533"/>
      <c r="M28" s="533"/>
    </row>
    <row r="29" spans="1:16" s="2" customFormat="1">
      <c r="B29" s="12"/>
      <c r="C29" s="134"/>
      <c r="D29" s="52"/>
      <c r="E29" s="52"/>
      <c r="F29" s="52"/>
      <c r="G29" s="52"/>
      <c r="H29" s="52"/>
      <c r="I29" s="52"/>
      <c r="J29" s="52"/>
      <c r="K29" s="52"/>
    </row>
    <row r="30" spans="1:16" s="2" customFormat="1">
      <c r="A30" s="35"/>
      <c r="B30" s="114" t="s">
        <v>200</v>
      </c>
      <c r="C30" s="148"/>
      <c r="D30" s="81"/>
      <c r="E30" s="81"/>
      <c r="F30" s="81"/>
      <c r="G30" s="81"/>
      <c r="H30" s="81"/>
      <c r="I30" s="81"/>
      <c r="J30" s="81"/>
      <c r="K30" s="81"/>
      <c r="L30" s="81"/>
      <c r="M30" s="81"/>
      <c r="N30" s="81"/>
    </row>
    <row r="31" spans="1:16" s="2" customFormat="1">
      <c r="A31" s="35"/>
      <c r="B31" s="35"/>
      <c r="C31" s="35"/>
      <c r="D31" s="35"/>
      <c r="E31" s="35"/>
      <c r="F31" s="35"/>
      <c r="G31" s="35"/>
      <c r="H31" s="35"/>
      <c r="I31" s="35"/>
      <c r="J31" s="35"/>
      <c r="K31" s="35"/>
      <c r="L31" s="35"/>
      <c r="M31" s="35"/>
      <c r="N31" s="35"/>
      <c r="O31" s="35"/>
      <c r="P31" s="35"/>
    </row>
    <row r="32" spans="1:16" s="2" customFormat="1">
      <c r="A32" s="35"/>
      <c r="B32" s="363" t="s">
        <v>211</v>
      </c>
      <c r="C32" s="288"/>
      <c r="D32" s="290"/>
      <c r="E32" s="290"/>
      <c r="F32" s="290"/>
      <c r="G32" s="290"/>
      <c r="H32" s="290"/>
      <c r="I32" s="290"/>
      <c r="J32" s="290"/>
      <c r="K32" s="290"/>
      <c r="L32" s="290"/>
      <c r="M32" s="290"/>
      <c r="N32" s="290"/>
    </row>
    <row r="33" spans="1:14" s="2" customFormat="1">
      <c r="A33" s="35"/>
      <c r="B33" s="364" t="s">
        <v>241</v>
      </c>
      <c r="C33" s="288"/>
      <c r="D33" s="290"/>
      <c r="E33" s="290"/>
      <c r="F33" s="290"/>
      <c r="G33" s="290"/>
      <c r="H33" s="290"/>
      <c r="I33" s="290"/>
      <c r="J33" s="290"/>
      <c r="K33" s="290"/>
      <c r="L33" s="290"/>
      <c r="M33" s="290"/>
      <c r="N33" s="290"/>
    </row>
    <row r="34" spans="1:14" s="2" customFormat="1">
      <c r="A34" s="35"/>
      <c r="B34" s="364" t="s">
        <v>480</v>
      </c>
      <c r="C34" s="288"/>
      <c r="D34" s="290"/>
      <c r="E34" s="290"/>
      <c r="F34" s="290"/>
      <c r="G34" s="290"/>
      <c r="H34" s="290"/>
      <c r="I34" s="290"/>
      <c r="J34" s="290"/>
      <c r="K34" s="290"/>
      <c r="L34" s="290"/>
      <c r="M34" s="290"/>
      <c r="N34" s="290"/>
    </row>
    <row r="35" spans="1:14" s="2" customFormat="1">
      <c r="A35" s="35"/>
      <c r="B35" s="364" t="s">
        <v>209</v>
      </c>
      <c r="C35" s="288"/>
      <c r="D35" s="290"/>
      <c r="E35" s="290"/>
      <c r="F35" s="290"/>
      <c r="G35" s="290"/>
      <c r="H35" s="290"/>
      <c r="I35" s="290"/>
      <c r="J35" s="290"/>
      <c r="K35" s="290"/>
      <c r="L35" s="290"/>
      <c r="M35" s="290"/>
      <c r="N35" s="290"/>
    </row>
    <row r="36" spans="1:14" s="2" customFormat="1">
      <c r="A36" s="35"/>
      <c r="B36" s="364" t="s">
        <v>202</v>
      </c>
      <c r="C36" s="288"/>
      <c r="D36" s="290"/>
      <c r="E36" s="290"/>
      <c r="F36" s="290"/>
      <c r="G36" s="290"/>
      <c r="H36" s="290"/>
      <c r="I36" s="290"/>
      <c r="J36" s="290"/>
      <c r="K36" s="290"/>
      <c r="L36" s="290"/>
      <c r="M36" s="290"/>
      <c r="N36" s="290"/>
    </row>
    <row r="37" spans="1:14" s="2" customFormat="1">
      <c r="A37" s="35"/>
      <c r="B37" s="364" t="s">
        <v>208</v>
      </c>
      <c r="C37" s="288"/>
      <c r="D37" s="290"/>
      <c r="E37" s="290"/>
      <c r="F37" s="290"/>
      <c r="G37" s="290"/>
      <c r="H37" s="290"/>
      <c r="I37" s="290"/>
      <c r="J37" s="290"/>
      <c r="K37" s="290"/>
      <c r="L37" s="290"/>
      <c r="M37" s="290"/>
      <c r="N37" s="290"/>
    </row>
    <row r="38" spans="1:14" s="2" customFormat="1">
      <c r="B38" s="12"/>
      <c r="C38" s="134"/>
    </row>
    <row r="39" spans="1:14" s="2" customFormat="1">
      <c r="A39" s="158" t="str">
        <f t="shared" ref="A39:A45" si="3">A11</f>
        <v>a</v>
      </c>
      <c r="B39" s="35" t="str">
        <f>$B$11&amp;""</f>
        <v>Broad measure of customer service</v>
      </c>
      <c r="C39" s="153" t="str">
        <f>'RFPR cover'!$C$14</f>
        <v>£m 12/13</v>
      </c>
      <c r="D39" s="667">
        <f>D51</f>
        <v>4.2913815363151437</v>
      </c>
      <c r="E39" s="667">
        <f t="shared" ref="E39:K39" si="4">E51</f>
        <v>4.1666400000000019</v>
      </c>
      <c r="F39" s="667">
        <f t="shared" si="4"/>
        <v>4.3633323000000015</v>
      </c>
      <c r="G39" s="667">
        <f t="shared" si="4"/>
        <v>4.597357500000002</v>
      </c>
      <c r="H39" s="667">
        <f t="shared" si="4"/>
        <v>4.7115</v>
      </c>
      <c r="I39" s="667">
        <f t="shared" si="4"/>
        <v>4.6203074999999991</v>
      </c>
      <c r="J39" s="667">
        <f t="shared" si="4"/>
        <v>4.6203074999999991</v>
      </c>
      <c r="K39" s="667">
        <f t="shared" si="4"/>
        <v>4.6203074999999991</v>
      </c>
      <c r="L39" s="667">
        <f>SUM(D39:INDEX(D39:K39,0,MATCH('RFPR cover'!$C$7,$D$6:$K$6,0)))</f>
        <v>22.130211336315149</v>
      </c>
      <c r="M39" s="668">
        <f t="shared" ref="M39:M45" si="5">SUM(D39:K39)</f>
        <v>35.991133836315143</v>
      </c>
    </row>
    <row r="40" spans="1:14" s="2" customFormat="1">
      <c r="A40" s="158" t="str">
        <f t="shared" si="3"/>
        <v>b</v>
      </c>
      <c r="B40" s="35" t="str">
        <f>$B$12&amp;""</f>
        <v>Interruptions-related quality of service</v>
      </c>
      <c r="C40" s="153" t="str">
        <f>'RFPR cover'!$C$14</f>
        <v>£m 12/13</v>
      </c>
      <c r="D40" s="667">
        <f>D55</f>
        <v>14.337</v>
      </c>
      <c r="E40" s="667">
        <f t="shared" ref="E40:K40" si="6">E55</f>
        <v>14.337</v>
      </c>
      <c r="F40" s="667">
        <f t="shared" si="6"/>
        <v>14.337</v>
      </c>
      <c r="G40" s="667">
        <f t="shared" si="6"/>
        <v>14.337</v>
      </c>
      <c r="H40" s="667">
        <f t="shared" si="6"/>
        <v>14.337</v>
      </c>
      <c r="I40" s="667">
        <f t="shared" si="6"/>
        <v>14.337</v>
      </c>
      <c r="J40" s="667">
        <f t="shared" si="6"/>
        <v>14.337</v>
      </c>
      <c r="K40" s="667">
        <f t="shared" si="6"/>
        <v>14.337</v>
      </c>
      <c r="L40" s="671">
        <f>SUM(D40:INDEX(D40:K40,0,MATCH('RFPR cover'!$C$7,$D$6:$K$6,0)))</f>
        <v>71.685000000000002</v>
      </c>
      <c r="M40" s="672">
        <f t="shared" si="5"/>
        <v>114.69600000000001</v>
      </c>
    </row>
    <row r="41" spans="1:14" s="2" customFormat="1">
      <c r="A41" s="158" t="str">
        <f t="shared" si="3"/>
        <v>c</v>
      </c>
      <c r="B41" s="35" t="str">
        <f>$B$13&amp;""</f>
        <v>Incentive on connections engagement</v>
      </c>
      <c r="C41" s="153" t="str">
        <f>'RFPR cover'!$C$14</f>
        <v>£m 12/13</v>
      </c>
      <c r="D41" s="667">
        <f>D59</f>
        <v>0</v>
      </c>
      <c r="E41" s="667">
        <f t="shared" ref="E41:K41" si="7">E59</f>
        <v>0</v>
      </c>
      <c r="F41" s="667">
        <f t="shared" si="7"/>
        <v>0</v>
      </c>
      <c r="G41" s="667">
        <f t="shared" si="7"/>
        <v>0</v>
      </c>
      <c r="H41" s="667">
        <f t="shared" si="7"/>
        <v>0</v>
      </c>
      <c r="I41" s="667">
        <f t="shared" si="7"/>
        <v>0</v>
      </c>
      <c r="J41" s="667">
        <f t="shared" si="7"/>
        <v>0</v>
      </c>
      <c r="K41" s="667">
        <f t="shared" si="7"/>
        <v>0</v>
      </c>
      <c r="L41" s="671">
        <f>SUM(D41:INDEX(D41:K41,0,MATCH('RFPR cover'!$C$7,$D$6:$K$6,0)))</f>
        <v>0</v>
      </c>
      <c r="M41" s="672">
        <f t="shared" si="5"/>
        <v>0</v>
      </c>
    </row>
    <row r="42" spans="1:14" s="2" customFormat="1">
      <c r="A42" s="158" t="str">
        <f t="shared" si="3"/>
        <v>d</v>
      </c>
      <c r="B42" s="35" t="str">
        <f>$B$14&amp;""</f>
        <v>Time to Connect Incentive</v>
      </c>
      <c r="C42" s="153" t="str">
        <f>'RFPR cover'!$C$14</f>
        <v>£m 12/13</v>
      </c>
      <c r="D42" s="667">
        <f>D63</f>
        <v>1.0913940000000002</v>
      </c>
      <c r="E42" s="667">
        <f t="shared" ref="E42:K42" si="8">E63</f>
        <v>0.93288747477722245</v>
      </c>
      <c r="F42" s="667">
        <f t="shared" si="8"/>
        <v>1.2738060000000002</v>
      </c>
      <c r="G42" s="667">
        <f t="shared" si="8"/>
        <v>1.2960000000000003</v>
      </c>
      <c r="H42" s="667">
        <f t="shared" si="8"/>
        <v>1.2386336669843452</v>
      </c>
      <c r="I42" s="667">
        <f t="shared" si="8"/>
        <v>1.0874388575435947</v>
      </c>
      <c r="J42" s="667">
        <f t="shared" si="8"/>
        <v>1.0874388575435947</v>
      </c>
      <c r="K42" s="667">
        <f t="shared" si="8"/>
        <v>1.0874388575435947</v>
      </c>
      <c r="L42" s="671">
        <f>SUM(D42:INDEX(D42:K42,0,MATCH('RFPR cover'!$C$7,$D$6:$K$6,0)))</f>
        <v>5.8327211417615681</v>
      </c>
      <c r="M42" s="672">
        <f t="shared" si="5"/>
        <v>9.0950377143923511</v>
      </c>
    </row>
    <row r="43" spans="1:14" s="2" customFormat="1">
      <c r="A43" s="158" t="str">
        <f t="shared" si="3"/>
        <v>e</v>
      </c>
      <c r="B43" s="35" t="str">
        <f>$B$15&amp;""</f>
        <v>Losses discretionary reward scheme</v>
      </c>
      <c r="C43" s="153" t="str">
        <f>'RFPR cover'!$C$14</f>
        <v>£m 12/13</v>
      </c>
      <c r="D43" s="667">
        <f>D67</f>
        <v>0</v>
      </c>
      <c r="E43" s="667">
        <f t="shared" ref="E43:K43" si="9">E67</f>
        <v>3.2400000000000005E-2</v>
      </c>
      <c r="F43" s="667">
        <f t="shared" si="9"/>
        <v>0</v>
      </c>
      <c r="G43" s="667">
        <f t="shared" si="9"/>
        <v>0</v>
      </c>
      <c r="H43" s="667">
        <f t="shared" si="9"/>
        <v>0</v>
      </c>
      <c r="I43" s="667">
        <f t="shared" si="9"/>
        <v>0</v>
      </c>
      <c r="J43" s="667">
        <f t="shared" si="9"/>
        <v>0</v>
      </c>
      <c r="K43" s="667">
        <f t="shared" si="9"/>
        <v>0</v>
      </c>
      <c r="L43" s="671">
        <f>SUM(D43:INDEX(D43:K43,0,MATCH('RFPR cover'!$C$7,$D$6:$K$6,0)))</f>
        <v>3.2400000000000005E-2</v>
      </c>
      <c r="M43" s="672">
        <f t="shared" si="5"/>
        <v>3.2400000000000005E-2</v>
      </c>
    </row>
    <row r="44" spans="1:14" s="2" customFormat="1">
      <c r="A44" s="158" t="str">
        <f t="shared" si="3"/>
        <v>f</v>
      </c>
      <c r="B44" s="35" t="str">
        <f>$B$16&amp;""</f>
        <v/>
      </c>
      <c r="C44" s="153" t="str">
        <f>'RFPR cover'!$C$14</f>
        <v>£m 12/13</v>
      </c>
      <c r="D44" s="667">
        <f>D71</f>
        <v>0</v>
      </c>
      <c r="E44" s="667">
        <f t="shared" ref="E44:K44" si="10">E71</f>
        <v>0</v>
      </c>
      <c r="F44" s="667">
        <f t="shared" si="10"/>
        <v>0</v>
      </c>
      <c r="G44" s="667">
        <f t="shared" si="10"/>
        <v>0</v>
      </c>
      <c r="H44" s="667">
        <f t="shared" si="10"/>
        <v>0</v>
      </c>
      <c r="I44" s="667">
        <f t="shared" si="10"/>
        <v>0</v>
      </c>
      <c r="J44" s="667">
        <f t="shared" si="10"/>
        <v>0</v>
      </c>
      <c r="K44" s="667">
        <f t="shared" si="10"/>
        <v>0</v>
      </c>
      <c r="L44" s="671">
        <f>SUM(D44:INDEX(D44:K44,0,MATCH('RFPR cover'!$C$7,$D$6:$K$6,0)))</f>
        <v>0</v>
      </c>
      <c r="M44" s="672">
        <f t="shared" si="5"/>
        <v>0</v>
      </c>
    </row>
    <row r="45" spans="1:14" s="2" customFormat="1">
      <c r="A45" s="158" t="str">
        <f t="shared" si="3"/>
        <v>g</v>
      </c>
      <c r="B45" s="35" t="str">
        <f>$B$17&amp;""</f>
        <v/>
      </c>
      <c r="C45" s="153" t="str">
        <f>'RFPR cover'!$C$14</f>
        <v>£m 12/13</v>
      </c>
      <c r="D45" s="667">
        <f>D75</f>
        <v>0</v>
      </c>
      <c r="E45" s="667">
        <f t="shared" ref="E45:K45" si="11">E75</f>
        <v>0</v>
      </c>
      <c r="F45" s="667">
        <f t="shared" si="11"/>
        <v>0</v>
      </c>
      <c r="G45" s="667">
        <f t="shared" si="11"/>
        <v>0</v>
      </c>
      <c r="H45" s="667">
        <f t="shared" si="11"/>
        <v>0</v>
      </c>
      <c r="I45" s="667">
        <f t="shared" si="11"/>
        <v>0</v>
      </c>
      <c r="J45" s="667">
        <f t="shared" si="11"/>
        <v>0</v>
      </c>
      <c r="K45" s="667">
        <f t="shared" si="11"/>
        <v>0</v>
      </c>
      <c r="L45" s="671">
        <f>SUM(D45:INDEX(D45:K45,0,MATCH('RFPR cover'!$C$7,$D$6:$K$6,0)))</f>
        <v>0</v>
      </c>
      <c r="M45" s="672">
        <f t="shared" si="5"/>
        <v>0</v>
      </c>
    </row>
    <row r="46" spans="1:14" s="2" customFormat="1">
      <c r="B46" s="12" t="s">
        <v>204</v>
      </c>
      <c r="C46" s="154" t="str">
        <f>'RFPR cover'!$C$14</f>
        <v>£m 12/13</v>
      </c>
      <c r="D46" s="606">
        <f>SUM(D39:D45)</f>
        <v>19.719775536315144</v>
      </c>
      <c r="E46" s="606">
        <f t="shared" ref="E46:M46" si="12">SUM(E39:E45)</f>
        <v>19.468927474777221</v>
      </c>
      <c r="F46" s="606">
        <f t="shared" si="12"/>
        <v>19.9741383</v>
      </c>
      <c r="G46" s="606">
        <f t="shared" si="12"/>
        <v>20.2303575</v>
      </c>
      <c r="H46" s="607">
        <f t="shared" si="12"/>
        <v>20.287133666984346</v>
      </c>
      <c r="I46" s="607">
        <f t="shared" si="12"/>
        <v>20.044746357543595</v>
      </c>
      <c r="J46" s="607">
        <f t="shared" si="12"/>
        <v>20.044746357543595</v>
      </c>
      <c r="K46" s="607">
        <f t="shared" si="12"/>
        <v>20.044746357543595</v>
      </c>
      <c r="L46" s="606">
        <f t="shared" si="12"/>
        <v>99.680332478076707</v>
      </c>
      <c r="M46" s="606">
        <f t="shared" si="12"/>
        <v>159.81457155070751</v>
      </c>
    </row>
    <row r="47" spans="1:14" s="2" customFormat="1">
      <c r="B47" s="12"/>
      <c r="C47" s="154"/>
      <c r="D47" s="154"/>
      <c r="E47" s="154"/>
      <c r="F47" s="154"/>
      <c r="G47" s="154"/>
      <c r="H47" s="154"/>
      <c r="I47" s="154"/>
      <c r="J47" s="154"/>
      <c r="K47" s="154"/>
      <c r="L47" s="154"/>
      <c r="M47" s="154"/>
    </row>
    <row r="48" spans="1:14" s="2" customFormat="1">
      <c r="B48" s="12"/>
      <c r="C48" s="154"/>
      <c r="D48" s="159"/>
      <c r="E48" s="154"/>
      <c r="F48" s="154"/>
      <c r="G48" s="154"/>
      <c r="H48" s="154"/>
      <c r="I48" s="154"/>
      <c r="J48" s="154"/>
      <c r="K48" s="154"/>
      <c r="L48" s="154"/>
      <c r="M48" s="154"/>
    </row>
    <row r="49" spans="1:13" s="2" customFormat="1">
      <c r="A49" s="158" t="str">
        <f>$A$11</f>
        <v>a</v>
      </c>
      <c r="B49" s="169" t="str">
        <f>INDEX($B$11:$B$15,MATCH($A49,$A$11:$A$15,0),0)&amp;""</f>
        <v>Broad measure of customer service</v>
      </c>
      <c r="C49" s="153" t="str">
        <f>'RFPR cover'!$C$14</f>
        <v>£m 12/13</v>
      </c>
      <c r="D49" s="779">
        <f>INDEX($D$11:$K$17,MATCH($A49,$A$11:$A$17,0),0)</f>
        <v>5.2980018966853626</v>
      </c>
      <c r="E49" s="779">
        <f t="shared" ref="E49:K49" si="13">INDEX($D$11:$K$17,MATCH($A49,$A$11:$A$17,0),0)</f>
        <v>5.1440000000000019</v>
      </c>
      <c r="F49" s="779">
        <f t="shared" si="13"/>
        <v>5.3868300000000016</v>
      </c>
      <c r="G49" s="779">
        <f t="shared" si="13"/>
        <v>5.6757500000000016</v>
      </c>
      <c r="H49" s="779">
        <f t="shared" si="13"/>
        <v>5.8166666666666664</v>
      </c>
      <c r="I49" s="779">
        <f t="shared" si="13"/>
        <v>5.7040833333333314</v>
      </c>
      <c r="J49" s="779">
        <f t="shared" si="13"/>
        <v>5.7040833333333314</v>
      </c>
      <c r="K49" s="779">
        <f t="shared" si="13"/>
        <v>5.7040833333333314</v>
      </c>
      <c r="L49" s="779">
        <f>SUM(D49:INDEX(D49:K49,0,MATCH('RFPR cover'!$C$7,$D$6:$K$6,0)))</f>
        <v>27.321248563352036</v>
      </c>
      <c r="M49" s="780">
        <f>SUM(D49:K49)</f>
        <v>44.433498563352025</v>
      </c>
    </row>
    <row r="50" spans="1:13" s="2" customFormat="1">
      <c r="A50" s="158"/>
      <c r="B50" s="35" t="s">
        <v>201</v>
      </c>
      <c r="C50" s="291" t="s">
        <v>202</v>
      </c>
      <c r="D50" s="879">
        <f>IF($C50=$B$33,$B$33,INDEX(Data!$G$14:$G$30,MATCH('R5 - Output Incentives'!D$6+RIGHT('R5 - Output Incentives'!$C50,2),Data!$C$14:$C$30,0),0))</f>
        <v>0.19</v>
      </c>
      <c r="E50" s="880">
        <f>IF($C50=$B$33,$B$33,INDEX(Data!$G$14:$G$30,MATCH('R5 - Output Incentives'!E$6+RIGHT('R5 - Output Incentives'!$C50,2),Data!$C$14:$C$30,0),0))</f>
        <v>0.19</v>
      </c>
      <c r="F50" s="880">
        <f>IF($C50=$B$33,$B$33,INDEX(Data!$G$14:$G$30,MATCH('R5 - Output Incentives'!F$6+RIGHT('R5 - Output Incentives'!$C50,2),Data!$C$14:$C$30,0),0))</f>
        <v>0.19</v>
      </c>
      <c r="G50" s="880">
        <f>IF($C50=$B$33,$B$33,INDEX(Data!$G$14:$G$30,MATCH('R5 - Output Incentives'!G$6+RIGHT('R5 - Output Incentives'!$C50,2),Data!$C$14:$C$30,0),0))</f>
        <v>0.19</v>
      </c>
      <c r="H50" s="880">
        <f>IF($C50=$B$33,$B$33,INDEX(Data!$G$14:$G$30,MATCH('R5 - Output Incentives'!H$6+RIGHT('R5 - Output Incentives'!$C50,2),Data!$C$14:$C$30,0),0))</f>
        <v>0.19</v>
      </c>
      <c r="I50" s="880">
        <f>IF($C50=$B$33,$B$33,INDEX(Data!$G$14:$G$30,MATCH('R5 - Output Incentives'!I$6+RIGHT('R5 - Output Incentives'!$C50,2),Data!$C$14:$C$30,0),0))</f>
        <v>0.19</v>
      </c>
      <c r="J50" s="880">
        <f>IF($C50=$B$33,$B$33,INDEX(Data!$G$14:$G$30,MATCH('R5 - Output Incentives'!J$6+RIGHT('R5 - Output Incentives'!$C50,2),Data!$C$14:$C$30,0),0))</f>
        <v>0.19</v>
      </c>
      <c r="K50" s="881">
        <f>IF($C50=$B$33,$B$33,INDEX(Data!$G$14:$G$30,MATCH('R5 - Output Incentives'!K$6+RIGHT('R5 - Output Incentives'!$C50,2),Data!$C$14:$C$30,0),0))</f>
        <v>0.19</v>
      </c>
      <c r="L50" s="781"/>
      <c r="M50" s="782"/>
    </row>
    <row r="51" spans="1:13" s="2" customFormat="1">
      <c r="A51" s="158"/>
      <c r="B51" s="35" t="s">
        <v>210</v>
      </c>
      <c r="C51" s="153"/>
      <c r="D51" s="606">
        <f>IFERROR(D49*(1-D50),0)</f>
        <v>4.2913815363151437</v>
      </c>
      <c r="E51" s="607">
        <f t="shared" ref="E51:K51" si="14">IFERROR(E49*(1-E50),0)</f>
        <v>4.1666400000000019</v>
      </c>
      <c r="F51" s="607">
        <f t="shared" si="14"/>
        <v>4.3633323000000015</v>
      </c>
      <c r="G51" s="607">
        <f t="shared" si="14"/>
        <v>4.597357500000002</v>
      </c>
      <c r="H51" s="607">
        <f t="shared" si="14"/>
        <v>4.7115</v>
      </c>
      <c r="I51" s="607">
        <f t="shared" si="14"/>
        <v>4.6203074999999991</v>
      </c>
      <c r="J51" s="607">
        <f t="shared" si="14"/>
        <v>4.6203074999999991</v>
      </c>
      <c r="K51" s="607">
        <f t="shared" si="14"/>
        <v>4.6203074999999991</v>
      </c>
      <c r="L51" s="665">
        <f>SUM(D51:INDEX(D51:K51,0,MATCH('RFPR cover'!$C$7,$D$6:$K$6,0)))</f>
        <v>22.130211336315149</v>
      </c>
      <c r="M51" s="666">
        <f>SUM(D51:K51)</f>
        <v>35.991133836315143</v>
      </c>
    </row>
    <row r="52" spans="1:13" s="2" customFormat="1">
      <c r="A52" s="158"/>
      <c r="B52" s="51"/>
      <c r="C52" s="154"/>
      <c r="D52" s="154"/>
      <c r="E52" s="154"/>
      <c r="F52" s="154"/>
      <c r="G52" s="154"/>
      <c r="H52" s="154"/>
      <c r="I52" s="154"/>
      <c r="J52" s="154"/>
      <c r="K52" s="154"/>
      <c r="L52" s="154"/>
      <c r="M52" s="154"/>
    </row>
    <row r="53" spans="1:13" s="2" customFormat="1">
      <c r="A53" s="158" t="str">
        <f>$A$12</f>
        <v>b</v>
      </c>
      <c r="B53" s="169" t="str">
        <f>INDEX($B$11:$B$15,MATCH($A53,$A$11:$A$15,0),0)&amp;""</f>
        <v>Interruptions-related quality of service</v>
      </c>
      <c r="C53" s="153" t="str">
        <f>'RFPR cover'!$C$14</f>
        <v>£m 12/13</v>
      </c>
      <c r="D53" s="779">
        <f>INDEX($D$11:$K$17,MATCH($A53,$A$11:$A$17,0),0)</f>
        <v>17.7</v>
      </c>
      <c r="E53" s="779">
        <f t="shared" ref="E53:K53" si="15">INDEX($D$11:$K$17,MATCH($A53,$A$11:$A$17,0),0)</f>
        <v>17.7</v>
      </c>
      <c r="F53" s="779">
        <f t="shared" si="15"/>
        <v>17.7</v>
      </c>
      <c r="G53" s="779">
        <f t="shared" si="15"/>
        <v>17.7</v>
      </c>
      <c r="H53" s="779">
        <f t="shared" si="15"/>
        <v>17.7</v>
      </c>
      <c r="I53" s="779">
        <f t="shared" si="15"/>
        <v>17.7</v>
      </c>
      <c r="J53" s="779">
        <f t="shared" si="15"/>
        <v>17.7</v>
      </c>
      <c r="K53" s="779">
        <f t="shared" si="15"/>
        <v>17.7</v>
      </c>
      <c r="L53" s="667">
        <f>SUM(D53:INDEX(D53:K53,0,MATCH('RFPR cover'!$C$7,$D$6:$K$6,0)))</f>
        <v>88.5</v>
      </c>
      <c r="M53" s="668">
        <f>SUM(D53:K53)</f>
        <v>141.6</v>
      </c>
    </row>
    <row r="54" spans="1:13" s="2" customFormat="1">
      <c r="A54" s="158"/>
      <c r="B54" s="35" t="s">
        <v>201</v>
      </c>
      <c r="C54" s="291" t="s">
        <v>202</v>
      </c>
      <c r="D54" s="879">
        <f>IF($C54=$B$33,$B$33,INDEX(Data!$G$14:$G$30,MATCH('R5 - Output Incentives'!D$6+RIGHT('R5 - Output Incentives'!$C54,2),Data!$C$14:$C$30,0),0))</f>
        <v>0.19</v>
      </c>
      <c r="E54" s="880">
        <f>IF($C54=$B$33,$B$33,INDEX(Data!$G$14:$G$30,MATCH('R5 - Output Incentives'!E$6+RIGHT('R5 - Output Incentives'!$C54,2),Data!$C$14:$C$30,0),0))</f>
        <v>0.19</v>
      </c>
      <c r="F54" s="880">
        <f>IF($C54=$B$33,$B$33,INDEX(Data!$G$14:$G$30,MATCH('R5 - Output Incentives'!F$6+RIGHT('R5 - Output Incentives'!$C54,2),Data!$C$14:$C$30,0),0))</f>
        <v>0.19</v>
      </c>
      <c r="G54" s="880">
        <f>IF($C54=$B$33,$B$33,INDEX(Data!$G$14:$G$30,MATCH('R5 - Output Incentives'!G$6+RIGHT('R5 - Output Incentives'!$C54,2),Data!$C$14:$C$30,0),0))</f>
        <v>0.19</v>
      </c>
      <c r="H54" s="880">
        <f>IF($C54=$B$33,$B$33,INDEX(Data!$G$14:$G$30,MATCH('R5 - Output Incentives'!H$6+RIGHT('R5 - Output Incentives'!$C54,2),Data!$C$14:$C$30,0),0))</f>
        <v>0.19</v>
      </c>
      <c r="I54" s="880">
        <f>IF($C54=$B$33,$B$33,INDEX(Data!$G$14:$G$30,MATCH('R5 - Output Incentives'!I$6+RIGHT('R5 - Output Incentives'!$C54,2),Data!$C$14:$C$30,0),0))</f>
        <v>0.19</v>
      </c>
      <c r="J54" s="880">
        <f>IF($C54=$B$33,$B$33,INDEX(Data!$G$14:$G$30,MATCH('R5 - Output Incentives'!J$6+RIGHT('R5 - Output Incentives'!$C54,2),Data!$C$14:$C$30,0),0))</f>
        <v>0.19</v>
      </c>
      <c r="K54" s="881">
        <f>IF($C54=$B$33,$B$33,INDEX(Data!$G$14:$G$30,MATCH('R5 - Output Incentives'!K$6+RIGHT('R5 - Output Incentives'!$C54,2),Data!$C$14:$C$30,0),0))</f>
        <v>0.19</v>
      </c>
      <c r="L54" s="781"/>
      <c r="M54" s="782"/>
    </row>
    <row r="55" spans="1:13" s="2" customFormat="1">
      <c r="A55" s="158"/>
      <c r="B55" s="35" t="s">
        <v>210</v>
      </c>
      <c r="C55" s="153"/>
      <c r="D55" s="606">
        <f>IFERROR(D53*(1-D54),0)</f>
        <v>14.337</v>
      </c>
      <c r="E55" s="607">
        <f t="shared" ref="E55:K55" si="16">IFERROR(E53*(1-E54),0)</f>
        <v>14.337</v>
      </c>
      <c r="F55" s="607">
        <f t="shared" si="16"/>
        <v>14.337</v>
      </c>
      <c r="G55" s="607">
        <f t="shared" si="16"/>
        <v>14.337</v>
      </c>
      <c r="H55" s="607">
        <f t="shared" si="16"/>
        <v>14.337</v>
      </c>
      <c r="I55" s="607">
        <f t="shared" si="16"/>
        <v>14.337</v>
      </c>
      <c r="J55" s="607">
        <f t="shared" si="16"/>
        <v>14.337</v>
      </c>
      <c r="K55" s="607">
        <f t="shared" si="16"/>
        <v>14.337</v>
      </c>
      <c r="L55" s="665">
        <f>SUM(D55:INDEX(D55:K55,0,MATCH('RFPR cover'!$C$7,$D$6:$K$6,0)))</f>
        <v>71.685000000000002</v>
      </c>
      <c r="M55" s="666">
        <f>SUM(D55:K55)</f>
        <v>114.69600000000001</v>
      </c>
    </row>
    <row r="56" spans="1:13" s="2" customFormat="1">
      <c r="A56" s="158"/>
      <c r="B56" s="51"/>
      <c r="C56" s="154"/>
      <c r="D56" s="154"/>
      <c r="E56" s="154"/>
      <c r="F56" s="154"/>
      <c r="G56" s="154"/>
      <c r="H56" s="154"/>
      <c r="I56" s="154"/>
      <c r="J56" s="154"/>
      <c r="K56" s="154"/>
      <c r="L56" s="154"/>
      <c r="M56" s="154"/>
    </row>
    <row r="57" spans="1:13" s="2" customFormat="1">
      <c r="A57" s="158" t="str">
        <f>$A$13</f>
        <v>c</v>
      </c>
      <c r="B57" s="169" t="str">
        <f>INDEX($B$11:$B$15,MATCH($A57,$A$11:$A$15,0),0)&amp;""</f>
        <v>Incentive on connections engagement</v>
      </c>
      <c r="C57" s="153" t="str">
        <f>'RFPR cover'!$C$14</f>
        <v>£m 12/13</v>
      </c>
      <c r="D57" s="779">
        <f>INDEX($D$11:$K$17,MATCH($A57,$A$11:$A$17,0),0)</f>
        <v>0</v>
      </c>
      <c r="E57" s="779">
        <f t="shared" ref="E57:K57" si="17">INDEX($D$11:$K$17,MATCH($A57,$A$11:$A$17,0),0)</f>
        <v>0</v>
      </c>
      <c r="F57" s="779">
        <f t="shared" si="17"/>
        <v>0</v>
      </c>
      <c r="G57" s="779">
        <f t="shared" si="17"/>
        <v>0</v>
      </c>
      <c r="H57" s="779">
        <f t="shared" si="17"/>
        <v>0</v>
      </c>
      <c r="I57" s="779">
        <f t="shared" si="17"/>
        <v>0</v>
      </c>
      <c r="J57" s="779">
        <f t="shared" si="17"/>
        <v>0</v>
      </c>
      <c r="K57" s="779">
        <f t="shared" si="17"/>
        <v>0</v>
      </c>
      <c r="L57" s="667">
        <f>SUM(D57:INDEX(D57:K57,0,MATCH('RFPR cover'!$C$7,$D$6:$K$6,0)))</f>
        <v>0</v>
      </c>
      <c r="M57" s="668">
        <f>SUM(D57:K57)</f>
        <v>0</v>
      </c>
    </row>
    <row r="58" spans="1:13" s="2" customFormat="1">
      <c r="A58" s="158"/>
      <c r="B58" s="35" t="s">
        <v>201</v>
      </c>
      <c r="C58" s="291" t="s">
        <v>208</v>
      </c>
      <c r="D58" s="879">
        <f>IF($C58=$B$33,$B$33,INDEX(Data!$G$14:$G$30,MATCH('R5 - Output Incentives'!D$6+RIGHT('R5 - Output Incentives'!$C58,2),Data!$C$14:$C$30,0),0))</f>
        <v>0.19</v>
      </c>
      <c r="E58" s="880">
        <f>IF($C58=$B$33,$B$33,INDEX(Data!$G$14:$G$30,MATCH('R5 - Output Incentives'!E$6+RIGHT('R5 - Output Incentives'!$C58,2),Data!$C$14:$C$30,0),0))</f>
        <v>0.19</v>
      </c>
      <c r="F58" s="880">
        <f>IF($C58=$B$33,$B$33,INDEX(Data!$G$14:$G$30,MATCH('R5 - Output Incentives'!F$6+RIGHT('R5 - Output Incentives'!$C58,2),Data!$C$14:$C$30,0),0))</f>
        <v>0.19</v>
      </c>
      <c r="G58" s="880">
        <f>IF($C58=$B$33,$B$33,INDEX(Data!$G$14:$G$30,MATCH('R5 - Output Incentives'!G$6+RIGHT('R5 - Output Incentives'!$C58,2),Data!$C$14:$C$30,0),0))</f>
        <v>0.19</v>
      </c>
      <c r="H58" s="880">
        <f>IF($C58=$B$33,$B$33,INDEX(Data!$G$14:$G$30,MATCH('R5 - Output Incentives'!H$6+RIGHT('R5 - Output Incentives'!$C58,2),Data!$C$14:$C$30,0),0))</f>
        <v>0.19</v>
      </c>
      <c r="I58" s="880">
        <f>IF($C58=$B$33,$B$33,INDEX(Data!$G$14:$G$30,MATCH('R5 - Output Incentives'!I$6+RIGHT('R5 - Output Incentives'!$C58,2),Data!$C$14:$C$30,0),0))</f>
        <v>0.19</v>
      </c>
      <c r="J58" s="880">
        <f>IF($C58=$B$33,$B$33,INDEX(Data!$G$14:$G$30,MATCH('R5 - Output Incentives'!J$6+RIGHT('R5 - Output Incentives'!$C58,2),Data!$C$14:$C$30,0),0))</f>
        <v>0.19</v>
      </c>
      <c r="K58" s="881">
        <f>IF($C58=$B$33,$B$33,INDEX(Data!$G$14:$G$30,MATCH('R5 - Output Incentives'!K$6+RIGHT('R5 - Output Incentives'!$C58,2),Data!$C$14:$C$30,0),0))</f>
        <v>0.19</v>
      </c>
      <c r="L58" s="781"/>
      <c r="M58" s="782"/>
    </row>
    <row r="59" spans="1:13" s="2" customFormat="1">
      <c r="A59" s="158"/>
      <c r="B59" s="35" t="s">
        <v>210</v>
      </c>
      <c r="C59" s="153"/>
      <c r="D59" s="606">
        <f>IFERROR(D57*(1-D58),0)</f>
        <v>0</v>
      </c>
      <c r="E59" s="607">
        <f t="shared" ref="E59:K59" si="18">IFERROR(E57*(1-E58),0)</f>
        <v>0</v>
      </c>
      <c r="F59" s="607">
        <f t="shared" si="18"/>
        <v>0</v>
      </c>
      <c r="G59" s="607">
        <f t="shared" si="18"/>
        <v>0</v>
      </c>
      <c r="H59" s="607">
        <f t="shared" si="18"/>
        <v>0</v>
      </c>
      <c r="I59" s="607">
        <f t="shared" si="18"/>
        <v>0</v>
      </c>
      <c r="J59" s="607">
        <f t="shared" si="18"/>
        <v>0</v>
      </c>
      <c r="K59" s="607">
        <f t="shared" si="18"/>
        <v>0</v>
      </c>
      <c r="L59" s="665">
        <f>SUM(D59:INDEX(D59:K59,0,MATCH('RFPR cover'!$C$7,$D$6:$K$6,0)))</f>
        <v>0</v>
      </c>
      <c r="M59" s="666">
        <f>SUM(D59:K59)</f>
        <v>0</v>
      </c>
    </row>
    <row r="60" spans="1:13" s="2" customFormat="1">
      <c r="A60" s="158"/>
      <c r="B60" s="51"/>
      <c r="C60" s="154"/>
      <c r="D60" s="154"/>
      <c r="E60" s="154"/>
      <c r="F60" s="154"/>
      <c r="G60" s="154"/>
      <c r="H60" s="154"/>
      <c r="I60" s="154"/>
      <c r="J60" s="154"/>
      <c r="K60" s="154"/>
      <c r="L60" s="154"/>
      <c r="M60" s="154"/>
    </row>
    <row r="61" spans="1:13" s="2" customFormat="1">
      <c r="A61" s="158" t="str">
        <f>$A$14</f>
        <v>d</v>
      </c>
      <c r="B61" s="169" t="str">
        <f>INDEX($B$11:$B$15,MATCH($A61,$A$11:$A$15,0),0)&amp;""</f>
        <v>Time to Connect Incentive</v>
      </c>
      <c r="C61" s="153" t="str">
        <f>'RFPR cover'!$C$14</f>
        <v>£m 12/13</v>
      </c>
      <c r="D61" s="779">
        <f>INDEX($D$11:$K$17,MATCH($A61,$A$11:$A$17,0),0)</f>
        <v>1.3474000000000002</v>
      </c>
      <c r="E61" s="779">
        <f t="shared" ref="E61:K61" si="19">INDEX($D$11:$K$17,MATCH($A61,$A$11:$A$17,0),0)</f>
        <v>1.1517129318237314</v>
      </c>
      <c r="F61" s="779">
        <f t="shared" si="19"/>
        <v>1.5726000000000002</v>
      </c>
      <c r="G61" s="779">
        <f t="shared" si="19"/>
        <v>1.6</v>
      </c>
      <c r="H61" s="779">
        <f t="shared" si="19"/>
        <v>1.5291773666473396</v>
      </c>
      <c r="I61" s="779">
        <f t="shared" si="19"/>
        <v>1.3425171080785119</v>
      </c>
      <c r="J61" s="779">
        <f t="shared" si="19"/>
        <v>1.3425171080785119</v>
      </c>
      <c r="K61" s="779">
        <f t="shared" si="19"/>
        <v>1.3425171080785119</v>
      </c>
      <c r="L61" s="667">
        <f>SUM(D61:INDEX(D61:K61,0,MATCH('RFPR cover'!$C$7,$D$6:$K$6,0)))</f>
        <v>7.2008902984710721</v>
      </c>
      <c r="M61" s="668">
        <f>SUM(D61:K61)</f>
        <v>11.228441622706608</v>
      </c>
    </row>
    <row r="62" spans="1:13" s="2" customFormat="1">
      <c r="A62" s="158"/>
      <c r="B62" s="35" t="s">
        <v>201</v>
      </c>
      <c r="C62" s="291" t="s">
        <v>202</v>
      </c>
      <c r="D62" s="879">
        <f>IF($C62=$B$33,$B$33,INDEX(Data!$G$14:$G$30,MATCH('R5 - Output Incentives'!D$6+RIGHT('R5 - Output Incentives'!$C62,2),Data!$C$14:$C$30,0),0))</f>
        <v>0.19</v>
      </c>
      <c r="E62" s="880">
        <f>IF($C62=$B$33,$B$33,INDEX(Data!$G$14:$G$30,MATCH('R5 - Output Incentives'!E$6+RIGHT('R5 - Output Incentives'!$C62,2),Data!$C$14:$C$30,0),0))</f>
        <v>0.19</v>
      </c>
      <c r="F62" s="880">
        <f>IF($C62=$B$33,$B$33,INDEX(Data!$G$14:$G$30,MATCH('R5 - Output Incentives'!F$6+RIGHT('R5 - Output Incentives'!$C62,2),Data!$C$14:$C$30,0),0))</f>
        <v>0.19</v>
      </c>
      <c r="G62" s="880">
        <f>IF($C62=$B$33,$B$33,INDEX(Data!$G$14:$G$30,MATCH('R5 - Output Incentives'!G$6+RIGHT('R5 - Output Incentives'!$C62,2),Data!$C$14:$C$30,0),0))</f>
        <v>0.19</v>
      </c>
      <c r="H62" s="880">
        <f>IF($C62=$B$33,$B$33,INDEX(Data!$G$14:$G$30,MATCH('R5 - Output Incentives'!H$6+RIGHT('R5 - Output Incentives'!$C62,2),Data!$C$14:$C$30,0),0))</f>
        <v>0.19</v>
      </c>
      <c r="I62" s="880">
        <f>IF($C62=$B$33,$B$33,INDEX(Data!$G$14:$G$30,MATCH('R5 - Output Incentives'!I$6+RIGHT('R5 - Output Incentives'!$C62,2),Data!$C$14:$C$30,0),0))</f>
        <v>0.19</v>
      </c>
      <c r="J62" s="880">
        <f>IF($C62=$B$33,$B$33,INDEX(Data!$G$14:$G$30,MATCH('R5 - Output Incentives'!J$6+RIGHT('R5 - Output Incentives'!$C62,2),Data!$C$14:$C$30,0),0))</f>
        <v>0.19</v>
      </c>
      <c r="K62" s="881">
        <f>IF($C62=$B$33,$B$33,INDEX(Data!$G$14:$G$30,MATCH('R5 - Output Incentives'!K$6+RIGHT('R5 - Output Incentives'!$C62,2),Data!$C$14:$C$30,0),0))</f>
        <v>0.19</v>
      </c>
      <c r="L62" s="781"/>
      <c r="M62" s="782"/>
    </row>
    <row r="63" spans="1:13" s="2" customFormat="1">
      <c r="A63" s="158"/>
      <c r="B63" s="35" t="s">
        <v>210</v>
      </c>
      <c r="C63" s="153"/>
      <c r="D63" s="606">
        <f>IFERROR(D61*(1-D62),0)</f>
        <v>1.0913940000000002</v>
      </c>
      <c r="E63" s="607">
        <f t="shared" ref="E63:K63" si="20">IFERROR(E61*(1-E62),0)</f>
        <v>0.93288747477722245</v>
      </c>
      <c r="F63" s="607">
        <f t="shared" si="20"/>
        <v>1.2738060000000002</v>
      </c>
      <c r="G63" s="607">
        <f t="shared" si="20"/>
        <v>1.2960000000000003</v>
      </c>
      <c r="H63" s="607">
        <f t="shared" si="20"/>
        <v>1.2386336669843452</v>
      </c>
      <c r="I63" s="607">
        <f t="shared" si="20"/>
        <v>1.0874388575435947</v>
      </c>
      <c r="J63" s="607">
        <f t="shared" si="20"/>
        <v>1.0874388575435947</v>
      </c>
      <c r="K63" s="607">
        <f t="shared" si="20"/>
        <v>1.0874388575435947</v>
      </c>
      <c r="L63" s="665">
        <f>SUM(D63:INDEX(D63:K63,0,MATCH('RFPR cover'!$C$7,$D$6:$K$6,0)))</f>
        <v>5.8327211417615681</v>
      </c>
      <c r="M63" s="666">
        <f>SUM(D63:K63)</f>
        <v>9.0950377143923511</v>
      </c>
    </row>
    <row r="64" spans="1:13" s="2" customFormat="1">
      <c r="A64" s="158"/>
      <c r="B64" s="51"/>
      <c r="C64" s="154"/>
      <c r="D64" s="154"/>
      <c r="E64" s="154"/>
      <c r="F64" s="154"/>
      <c r="G64" s="154"/>
      <c r="H64" s="154"/>
      <c r="I64" s="154"/>
      <c r="J64" s="154"/>
      <c r="K64" s="154"/>
      <c r="L64" s="154"/>
      <c r="M64" s="154"/>
    </row>
    <row r="65" spans="1:14" s="2" customFormat="1">
      <c r="A65" s="158" t="str">
        <f>$A$15</f>
        <v>e</v>
      </c>
      <c r="B65" s="169" t="str">
        <f>INDEX($B$11:$B$15,MATCH($A65,$A$11:$A$15,0),0)&amp;""</f>
        <v>Losses discretionary reward scheme</v>
      </c>
      <c r="C65" s="153" t="str">
        <f>'RFPR cover'!$C$14</f>
        <v>£m 12/13</v>
      </c>
      <c r="D65" s="779">
        <f>INDEX($D$11:$K$17,MATCH($A65,$A$11:$A$17,0),0)</f>
        <v>0</v>
      </c>
      <c r="E65" s="779">
        <f t="shared" ref="E65:K65" si="21">INDEX($D$11:$K$17,MATCH($A65,$A$11:$A$17,0),0)</f>
        <v>0.04</v>
      </c>
      <c r="F65" s="779">
        <f t="shared" si="21"/>
        <v>0</v>
      </c>
      <c r="G65" s="779">
        <f t="shared" si="21"/>
        <v>0</v>
      </c>
      <c r="H65" s="779">
        <f t="shared" si="21"/>
        <v>0</v>
      </c>
      <c r="I65" s="779">
        <f t="shared" si="21"/>
        <v>0</v>
      </c>
      <c r="J65" s="779">
        <f t="shared" si="21"/>
        <v>0</v>
      </c>
      <c r="K65" s="779">
        <f t="shared" si="21"/>
        <v>0</v>
      </c>
      <c r="L65" s="667">
        <f>SUM(D65:INDEX(D65:K65,0,MATCH('RFPR cover'!$C$7,$D$6:$K$6,0)))</f>
        <v>0.04</v>
      </c>
      <c r="M65" s="668">
        <f>SUM(D65:K65)</f>
        <v>0.04</v>
      </c>
    </row>
    <row r="66" spans="1:14" s="2" customFormat="1">
      <c r="A66" s="158"/>
      <c r="B66" s="35" t="s">
        <v>201</v>
      </c>
      <c r="C66" s="291" t="s">
        <v>209</v>
      </c>
      <c r="D66" s="879">
        <f>IF($C66=$B$33,$B$33,INDEX(Data!$G$14:$G$30,MATCH('R5 - Output Incentives'!D$6+RIGHT('R5 - Output Incentives'!$C66,2),Data!$C$14:$C$30,0),0))</f>
        <v>0.2</v>
      </c>
      <c r="E66" s="880">
        <f>IF($C66=$B$33,$B$33,INDEX(Data!$G$14:$G$30,MATCH('R5 - Output Incentives'!E$6+RIGHT('R5 - Output Incentives'!$C66,2),Data!$C$14:$C$30,0),0))</f>
        <v>0.19</v>
      </c>
      <c r="F66" s="880">
        <f>IF($C66=$B$33,$B$33,INDEX(Data!$G$14:$G$30,MATCH('R5 - Output Incentives'!F$6+RIGHT('R5 - Output Incentives'!$C66,2),Data!$C$14:$C$30,0),0))</f>
        <v>0.19</v>
      </c>
      <c r="G66" s="880">
        <f>IF($C66=$B$33,$B$33,INDEX(Data!$G$14:$G$30,MATCH('R5 - Output Incentives'!G$6+RIGHT('R5 - Output Incentives'!$C66,2),Data!$C$14:$C$30,0),0))</f>
        <v>0.19</v>
      </c>
      <c r="H66" s="880">
        <f>IF($C66=$B$33,$B$33,INDEX(Data!$G$14:$G$30,MATCH('R5 - Output Incentives'!H$6+RIGHT('R5 - Output Incentives'!$C66,2),Data!$C$14:$C$30,0),0))</f>
        <v>0.19</v>
      </c>
      <c r="I66" s="880">
        <f>IF($C66=$B$33,$B$33,INDEX(Data!$G$14:$G$30,MATCH('R5 - Output Incentives'!I$6+RIGHT('R5 - Output Incentives'!$C66,2),Data!$C$14:$C$30,0),0))</f>
        <v>0.19</v>
      </c>
      <c r="J66" s="880">
        <f>IF($C66=$B$33,$B$33,INDEX(Data!$G$14:$G$30,MATCH('R5 - Output Incentives'!J$6+RIGHT('R5 - Output Incentives'!$C66,2),Data!$C$14:$C$30,0),0))</f>
        <v>0.19</v>
      </c>
      <c r="K66" s="881">
        <f>IF($C66=$B$33,$B$33,INDEX(Data!$G$14:$G$30,MATCH('R5 - Output Incentives'!K$6+RIGHT('R5 - Output Incentives'!$C66,2),Data!$C$14:$C$30,0),0))</f>
        <v>0.19</v>
      </c>
      <c r="L66" s="781"/>
      <c r="M66" s="782"/>
    </row>
    <row r="67" spans="1:14" s="2" customFormat="1">
      <c r="A67" s="158"/>
      <c r="B67" s="35" t="s">
        <v>210</v>
      </c>
      <c r="C67" s="153"/>
      <c r="D67" s="606">
        <f>IFERROR(D65*(1-D66),0)</f>
        <v>0</v>
      </c>
      <c r="E67" s="607">
        <f t="shared" ref="E67:K67" si="22">IFERROR(E65*(1-E66),0)</f>
        <v>3.2400000000000005E-2</v>
      </c>
      <c r="F67" s="607">
        <f t="shared" si="22"/>
        <v>0</v>
      </c>
      <c r="G67" s="607">
        <f t="shared" si="22"/>
        <v>0</v>
      </c>
      <c r="H67" s="607">
        <f t="shared" si="22"/>
        <v>0</v>
      </c>
      <c r="I67" s="607">
        <f t="shared" si="22"/>
        <v>0</v>
      </c>
      <c r="J67" s="607">
        <f t="shared" si="22"/>
        <v>0</v>
      </c>
      <c r="K67" s="607">
        <f t="shared" si="22"/>
        <v>0</v>
      </c>
      <c r="L67" s="665">
        <f>SUM(D67:INDEX(D67:K67,0,MATCH('RFPR cover'!$C$7,$D$6:$K$6,0)))</f>
        <v>3.2400000000000005E-2</v>
      </c>
      <c r="M67" s="666">
        <f>SUM(D67:K67)</f>
        <v>3.2400000000000005E-2</v>
      </c>
    </row>
    <row r="68" spans="1:14" s="2" customFormat="1">
      <c r="A68" s="158"/>
      <c r="B68" s="51"/>
      <c r="C68" s="154"/>
      <c r="D68" s="154"/>
      <c r="E68" s="154"/>
      <c r="F68" s="154"/>
      <c r="G68" s="154"/>
      <c r="H68" s="154"/>
      <c r="I68" s="154"/>
      <c r="J68" s="154"/>
      <c r="K68" s="154"/>
      <c r="L68" s="154"/>
      <c r="M68" s="154"/>
    </row>
    <row r="69" spans="1:14" s="2" customFormat="1">
      <c r="A69" s="158" t="str">
        <f>$A$16</f>
        <v>f</v>
      </c>
      <c r="B69" s="169" t="str">
        <f>INDEX($B$11:$B$17,MATCH($A69,$A$11:$A$17,0),0)&amp;""</f>
        <v/>
      </c>
      <c r="C69" s="153" t="str">
        <f>'RFPR cover'!$C$14</f>
        <v>£m 12/13</v>
      </c>
      <c r="D69" s="779">
        <f>INDEX($D$11:$K$17,MATCH($A69,$A$11:$A$17,0),0)</f>
        <v>0</v>
      </c>
      <c r="E69" s="779">
        <f t="shared" ref="E69:K69" si="23">INDEX($D$11:$K$17,MATCH($A69,$A$11:$A$17,0),0)</f>
        <v>0</v>
      </c>
      <c r="F69" s="779">
        <f t="shared" si="23"/>
        <v>0</v>
      </c>
      <c r="G69" s="779">
        <f t="shared" si="23"/>
        <v>0</v>
      </c>
      <c r="H69" s="779">
        <f t="shared" si="23"/>
        <v>0</v>
      </c>
      <c r="I69" s="779">
        <f t="shared" si="23"/>
        <v>0</v>
      </c>
      <c r="J69" s="779">
        <f t="shared" si="23"/>
        <v>0</v>
      </c>
      <c r="K69" s="779">
        <f t="shared" si="23"/>
        <v>0</v>
      </c>
      <c r="L69" s="667">
        <f>SUM(D69:INDEX(D69:K69,0,MATCH('RFPR cover'!$C$7,$D$6:$K$6,0)))</f>
        <v>0</v>
      </c>
      <c r="M69" s="668">
        <f>SUM(D69:K69)</f>
        <v>0</v>
      </c>
    </row>
    <row r="70" spans="1:14" s="2" customFormat="1">
      <c r="A70" s="158"/>
      <c r="B70" s="35" t="s">
        <v>201</v>
      </c>
      <c r="C70" s="291" t="s">
        <v>209</v>
      </c>
      <c r="D70" s="879">
        <f>IF($C70=$B$33,$B$33,INDEX(Data!$G$14:$G$30,MATCH('R5 - Output Incentives'!D$6+RIGHT('R5 - Output Incentives'!$C70,2),Data!$C$14:$C$30,0),0))</f>
        <v>0.2</v>
      </c>
      <c r="E70" s="880">
        <f>IF($C70=$B$33,$B$33,INDEX(Data!$G$14:$G$30,MATCH('R5 - Output Incentives'!E$6+RIGHT('R5 - Output Incentives'!$C70,2),Data!$C$14:$C$30,0),0))</f>
        <v>0.19</v>
      </c>
      <c r="F70" s="880">
        <f>IF($C70=$B$33,$B$33,INDEX(Data!$G$14:$G$30,MATCH('R5 - Output Incentives'!F$6+RIGHT('R5 - Output Incentives'!$C70,2),Data!$C$14:$C$30,0),0))</f>
        <v>0.19</v>
      </c>
      <c r="G70" s="880">
        <f>IF($C70=$B$33,$B$33,INDEX(Data!$G$14:$G$30,MATCH('R5 - Output Incentives'!G$6+RIGHT('R5 - Output Incentives'!$C70,2),Data!$C$14:$C$30,0),0))</f>
        <v>0.19</v>
      </c>
      <c r="H70" s="880">
        <f>IF($C70=$B$33,$B$33,INDEX(Data!$G$14:$G$30,MATCH('R5 - Output Incentives'!H$6+RIGHT('R5 - Output Incentives'!$C70,2),Data!$C$14:$C$30,0),0))</f>
        <v>0.19</v>
      </c>
      <c r="I70" s="880">
        <f>IF($C70=$B$33,$B$33,INDEX(Data!$G$14:$G$30,MATCH('R5 - Output Incentives'!I$6+RIGHT('R5 - Output Incentives'!$C70,2),Data!$C$14:$C$30,0),0))</f>
        <v>0.19</v>
      </c>
      <c r="J70" s="880">
        <f>IF($C70=$B$33,$B$33,INDEX(Data!$G$14:$G$30,MATCH('R5 - Output Incentives'!J$6+RIGHT('R5 - Output Incentives'!$C70,2),Data!$C$14:$C$30,0),0))</f>
        <v>0.19</v>
      </c>
      <c r="K70" s="881">
        <f>IF($C70=$B$33,$B$33,INDEX(Data!$G$14:$G$30,MATCH('R5 - Output Incentives'!K$6+RIGHT('R5 - Output Incentives'!$C70,2),Data!$C$14:$C$30,0),0))</f>
        <v>0.19</v>
      </c>
      <c r="L70" s="781"/>
      <c r="M70" s="782"/>
    </row>
    <row r="71" spans="1:14" s="2" customFormat="1">
      <c r="A71" s="158"/>
      <c r="B71" s="35" t="s">
        <v>210</v>
      </c>
      <c r="C71" s="153"/>
      <c r="D71" s="606">
        <f>IFERROR(D69*(1-D70),0)</f>
        <v>0</v>
      </c>
      <c r="E71" s="607">
        <f t="shared" ref="E71:K71" si="24">IFERROR(E69*(1-E70),0)</f>
        <v>0</v>
      </c>
      <c r="F71" s="607">
        <f t="shared" si="24"/>
        <v>0</v>
      </c>
      <c r="G71" s="607">
        <f t="shared" si="24"/>
        <v>0</v>
      </c>
      <c r="H71" s="607">
        <f t="shared" si="24"/>
        <v>0</v>
      </c>
      <c r="I71" s="607">
        <f t="shared" si="24"/>
        <v>0</v>
      </c>
      <c r="J71" s="607">
        <f t="shared" si="24"/>
        <v>0</v>
      </c>
      <c r="K71" s="607">
        <f t="shared" si="24"/>
        <v>0</v>
      </c>
      <c r="L71" s="665">
        <f>SUM(D71:INDEX(D71:K71,0,MATCH('RFPR cover'!$C$7,$D$6:$K$6,0)))</f>
        <v>0</v>
      </c>
      <c r="M71" s="666">
        <f>SUM(D71:K71)</f>
        <v>0</v>
      </c>
    </row>
    <row r="72" spans="1:14" s="2" customFormat="1">
      <c r="A72" s="158"/>
      <c r="B72" s="51"/>
      <c r="C72" s="154"/>
      <c r="D72" s="154"/>
      <c r="E72" s="154"/>
      <c r="F72" s="154"/>
      <c r="G72" s="154"/>
      <c r="H72" s="154"/>
      <c r="I72" s="154"/>
      <c r="J72" s="154"/>
      <c r="K72" s="154"/>
      <c r="L72" s="154"/>
      <c r="M72" s="154"/>
    </row>
    <row r="73" spans="1:14" s="2" customFormat="1">
      <c r="A73" s="158" t="s">
        <v>479</v>
      </c>
      <c r="B73" s="169" t="str">
        <f>INDEX($B$11:$B$17,MATCH($A73,$A$11:$A$17,0),0)&amp;""</f>
        <v/>
      </c>
      <c r="C73" s="153" t="str">
        <f>'RFPR cover'!$C$14</f>
        <v>£m 12/13</v>
      </c>
      <c r="D73" s="779">
        <f>INDEX($D$11:$K$17,MATCH($A73,$A$11:$A$17,0),0)</f>
        <v>0</v>
      </c>
      <c r="E73" s="779">
        <f t="shared" ref="E73:K73" si="25">INDEX($D$11:$K$17,MATCH($A73,$A$11:$A$17,0),0)</f>
        <v>0</v>
      </c>
      <c r="F73" s="779">
        <f t="shared" si="25"/>
        <v>0</v>
      </c>
      <c r="G73" s="779">
        <f t="shared" si="25"/>
        <v>0</v>
      </c>
      <c r="H73" s="779">
        <f t="shared" si="25"/>
        <v>0</v>
      </c>
      <c r="I73" s="779">
        <f t="shared" si="25"/>
        <v>0</v>
      </c>
      <c r="J73" s="779">
        <f t="shared" si="25"/>
        <v>0</v>
      </c>
      <c r="K73" s="779">
        <f t="shared" si="25"/>
        <v>0</v>
      </c>
      <c r="L73" s="667">
        <f>SUM(D73:INDEX(D73:K73,0,MATCH('RFPR cover'!$C$7,$D$6:$K$6,0)))</f>
        <v>0</v>
      </c>
      <c r="M73" s="668">
        <f>SUM(D73:K73)</f>
        <v>0</v>
      </c>
    </row>
    <row r="74" spans="1:14" s="2" customFormat="1">
      <c r="A74" s="158"/>
      <c r="B74" s="35" t="s">
        <v>201</v>
      </c>
      <c r="C74" s="291" t="s">
        <v>209</v>
      </c>
      <c r="D74" s="879">
        <f>IF($C74=$B$33,$B$33,INDEX(Data!$G$14:$G$30,MATCH('R5 - Output Incentives'!D$6+RIGHT('R5 - Output Incentives'!$C74,2),Data!$C$14:$C$30,0),0))</f>
        <v>0.2</v>
      </c>
      <c r="E74" s="880">
        <f>IF($C74=$B$33,$B$33,INDEX(Data!$G$14:$G$30,MATCH('R5 - Output Incentives'!E$6+RIGHT('R5 - Output Incentives'!$C74,2),Data!$C$14:$C$30,0),0))</f>
        <v>0.19</v>
      </c>
      <c r="F74" s="880">
        <f>IF($C74=$B$33,$B$33,INDEX(Data!$G$14:$G$30,MATCH('R5 - Output Incentives'!F$6+RIGHT('R5 - Output Incentives'!$C74,2),Data!$C$14:$C$30,0),0))</f>
        <v>0.19</v>
      </c>
      <c r="G74" s="880">
        <f>IF($C74=$B$33,$B$33,INDEX(Data!$G$14:$G$30,MATCH('R5 - Output Incentives'!G$6+RIGHT('R5 - Output Incentives'!$C74,2),Data!$C$14:$C$30,0),0))</f>
        <v>0.19</v>
      </c>
      <c r="H74" s="880">
        <f>IF($C74=$B$33,$B$33,INDEX(Data!$G$14:$G$30,MATCH('R5 - Output Incentives'!H$6+RIGHT('R5 - Output Incentives'!$C74,2),Data!$C$14:$C$30,0),0))</f>
        <v>0.19</v>
      </c>
      <c r="I74" s="880">
        <f>IF($C74=$B$33,$B$33,INDEX(Data!$G$14:$G$30,MATCH('R5 - Output Incentives'!I$6+RIGHT('R5 - Output Incentives'!$C74,2),Data!$C$14:$C$30,0),0))</f>
        <v>0.19</v>
      </c>
      <c r="J74" s="880">
        <f>IF($C74=$B$33,$B$33,INDEX(Data!$G$14:$G$30,MATCH('R5 - Output Incentives'!J$6+RIGHT('R5 - Output Incentives'!$C74,2),Data!$C$14:$C$30,0),0))</f>
        <v>0.19</v>
      </c>
      <c r="K74" s="881">
        <f>IF($C74=$B$33,$B$33,INDEX(Data!$G$14:$G$30,MATCH('R5 - Output Incentives'!K$6+RIGHT('R5 - Output Incentives'!$C74,2),Data!$C$14:$C$30,0),0))</f>
        <v>0.19</v>
      </c>
      <c r="L74" s="781"/>
      <c r="M74" s="782"/>
    </row>
    <row r="75" spans="1:14" s="2" customFormat="1">
      <c r="A75" s="158"/>
      <c r="B75" s="35" t="s">
        <v>210</v>
      </c>
      <c r="C75" s="153"/>
      <c r="D75" s="606">
        <f>IFERROR(D73*(1-D74),0)</f>
        <v>0</v>
      </c>
      <c r="E75" s="607">
        <f t="shared" ref="E75:K75" si="26">IFERROR(E73*(1-E74),0)</f>
        <v>0</v>
      </c>
      <c r="F75" s="607">
        <f t="shared" si="26"/>
        <v>0</v>
      </c>
      <c r="G75" s="607">
        <f t="shared" si="26"/>
        <v>0</v>
      </c>
      <c r="H75" s="607">
        <f t="shared" si="26"/>
        <v>0</v>
      </c>
      <c r="I75" s="607">
        <f t="shared" si="26"/>
        <v>0</v>
      </c>
      <c r="J75" s="607">
        <f t="shared" si="26"/>
        <v>0</v>
      </c>
      <c r="K75" s="607">
        <f t="shared" si="26"/>
        <v>0</v>
      </c>
      <c r="L75" s="665">
        <f>SUM(D75:INDEX(D75:K75,0,MATCH('RFPR cover'!$C$7,$D$6:$K$6,0)))</f>
        <v>0</v>
      </c>
      <c r="M75" s="666">
        <f>SUM(D75:K75)</f>
        <v>0</v>
      </c>
    </row>
    <row r="76" spans="1:14" s="529" customFormat="1" ht="14.25" customHeight="1">
      <c r="A76" s="528"/>
      <c r="C76" s="530"/>
      <c r="D76" s="531"/>
      <c r="E76" s="531"/>
      <c r="F76" s="531"/>
      <c r="G76" s="531"/>
      <c r="H76" s="531"/>
      <c r="I76" s="531"/>
      <c r="J76" s="531"/>
      <c r="K76" s="531"/>
      <c r="L76" s="532"/>
      <c r="M76" s="532"/>
    </row>
    <row r="77" spans="1:14" s="2" customFormat="1">
      <c r="B77" s="114" t="s">
        <v>396</v>
      </c>
      <c r="C77" s="148"/>
      <c r="D77" s="131"/>
      <c r="E77" s="131"/>
      <c r="F77" s="131"/>
      <c r="G77" s="131"/>
      <c r="H77" s="131"/>
      <c r="I77" s="131"/>
      <c r="J77" s="131"/>
      <c r="K77" s="131"/>
      <c r="L77" s="81"/>
      <c r="M77" s="81"/>
      <c r="N77" s="81"/>
    </row>
    <row r="78" spans="1:14" s="2" customFormat="1">
      <c r="B78" s="363" t="s">
        <v>395</v>
      </c>
      <c r="C78" s="288"/>
      <c r="D78" s="289"/>
      <c r="E78" s="289"/>
      <c r="F78" s="289"/>
      <c r="G78" s="289"/>
      <c r="H78" s="289"/>
      <c r="I78" s="289"/>
      <c r="J78" s="289"/>
      <c r="K78" s="289"/>
      <c r="L78" s="290"/>
      <c r="M78" s="290"/>
      <c r="N78" s="290"/>
    </row>
    <row r="79" spans="1:14" s="2" customFormat="1">
      <c r="B79" s="363" t="s">
        <v>397</v>
      </c>
      <c r="C79" s="288"/>
      <c r="D79" s="289"/>
      <c r="E79" s="289"/>
      <c r="F79" s="289"/>
      <c r="G79" s="289"/>
      <c r="H79" s="289"/>
      <c r="I79" s="289"/>
      <c r="J79" s="289"/>
      <c r="K79" s="289"/>
      <c r="L79" s="290"/>
      <c r="M79" s="290"/>
      <c r="N79" s="290"/>
    </row>
    <row r="80" spans="1:14" s="529" customFormat="1">
      <c r="B80" s="534"/>
      <c r="C80" s="535"/>
      <c r="D80" s="536"/>
      <c r="E80" s="536"/>
      <c r="F80" s="536"/>
      <c r="G80" s="536"/>
      <c r="H80" s="536"/>
      <c r="I80" s="536"/>
      <c r="J80" s="536"/>
      <c r="K80" s="536"/>
    </row>
    <row r="81" spans="1:12" s="2" customFormat="1">
      <c r="B81" s="12"/>
      <c r="C81" s="537" t="s">
        <v>398</v>
      </c>
      <c r="D81" s="540" t="str">
        <f t="shared" ref="D81:K81" si="27">IF($C50=$B$33,D$6,IF(D$6-RIGHT($C50,1)&lt;$D$6,"Pre-RIIO",D$6-RIGHT($C50,1)))</f>
        <v>Pre-RIIO</v>
      </c>
      <c r="E81" s="541" t="str">
        <f t="shared" si="27"/>
        <v>Pre-RIIO</v>
      </c>
      <c r="F81" s="541">
        <f t="shared" si="27"/>
        <v>2016</v>
      </c>
      <c r="G81" s="541">
        <f t="shared" si="27"/>
        <v>2017</v>
      </c>
      <c r="H81" s="541">
        <f t="shared" si="27"/>
        <v>2018</v>
      </c>
      <c r="I81" s="541">
        <f t="shared" si="27"/>
        <v>2019</v>
      </c>
      <c r="J81" s="541">
        <f t="shared" si="27"/>
        <v>2020</v>
      </c>
      <c r="K81" s="542">
        <f t="shared" si="27"/>
        <v>2021</v>
      </c>
    </row>
    <row r="82" spans="1:12" s="2" customFormat="1">
      <c r="A82" s="3" t="str">
        <f>A11</f>
        <v>a</v>
      </c>
      <c r="B82" s="127" t="str">
        <f>B11&amp;""</f>
        <v>Broad measure of customer service</v>
      </c>
      <c r="C82" s="134" t="s">
        <v>128</v>
      </c>
      <c r="D82" s="634">
        <v>2.7897890424749994</v>
      </c>
      <c r="E82" s="635">
        <v>2.7750319164770421</v>
      </c>
      <c r="F82" s="635">
        <v>5.6175601351293487</v>
      </c>
      <c r="G82" s="635">
        <v>5.5828866600000033</v>
      </c>
      <c r="H82" s="613">
        <f>+F11*Data!E$34</f>
        <v>6.0524477843670192</v>
      </c>
      <c r="I82" s="613">
        <f>+G11*Data!F$34</f>
        <v>6.57192349443139</v>
      </c>
      <c r="J82" s="613">
        <f>+H11*Data!G$34</f>
        <v>6.9094416402711074</v>
      </c>
      <c r="K82" s="613">
        <f>+I11*Data!H$34</f>
        <v>6.8908943429671972</v>
      </c>
    </row>
    <row r="83" spans="1:12" s="2" customFormat="1">
      <c r="A83" s="3"/>
      <c r="B83" s="127"/>
      <c r="C83" s="134"/>
      <c r="D83" s="134"/>
      <c r="E83" s="134"/>
      <c r="F83" s="134"/>
      <c r="G83" s="134"/>
      <c r="H83" s="134"/>
      <c r="I83" s="134"/>
      <c r="J83" s="134"/>
      <c r="K83" s="134"/>
      <c r="L83" s="134"/>
    </row>
    <row r="84" spans="1:12" s="2" customFormat="1">
      <c r="A84" s="3"/>
      <c r="B84" s="127"/>
      <c r="C84" s="537" t="s">
        <v>398</v>
      </c>
      <c r="D84" s="540" t="str">
        <f t="shared" ref="D84:K84" si="28">IF($C54=$B$33,D$6,IF(D$6-RIGHT($C54,1)&lt;$D$6,"Pre-RIIO",D$6-RIGHT($C54,1)))</f>
        <v>Pre-RIIO</v>
      </c>
      <c r="E84" s="541" t="str">
        <f t="shared" si="28"/>
        <v>Pre-RIIO</v>
      </c>
      <c r="F84" s="541">
        <f t="shared" si="28"/>
        <v>2016</v>
      </c>
      <c r="G84" s="541">
        <f t="shared" si="28"/>
        <v>2017</v>
      </c>
      <c r="H84" s="541">
        <f t="shared" si="28"/>
        <v>2018</v>
      </c>
      <c r="I84" s="541">
        <f t="shared" si="28"/>
        <v>2019</v>
      </c>
      <c r="J84" s="541">
        <f t="shared" si="28"/>
        <v>2020</v>
      </c>
      <c r="K84" s="542">
        <f t="shared" si="28"/>
        <v>2021</v>
      </c>
    </row>
    <row r="85" spans="1:12" s="2" customFormat="1">
      <c r="A85" s="3" t="str">
        <f>A12</f>
        <v>b</v>
      </c>
      <c r="B85" s="127" t="str">
        <f>B12&amp;""</f>
        <v>Interruptions-related quality of service</v>
      </c>
      <c r="C85" s="134" t="s">
        <v>128</v>
      </c>
      <c r="D85" s="634">
        <v>32.45072274783</v>
      </c>
      <c r="E85" s="635">
        <v>36.028630055699999</v>
      </c>
      <c r="F85" s="635">
        <v>21.395721453351523</v>
      </c>
      <c r="G85" s="635">
        <v>22.075330573005026</v>
      </c>
      <c r="H85" s="613">
        <v>22.75099287802767</v>
      </c>
      <c r="I85" s="613">
        <f>+G12*(1+(Data!H$63*Data!$E$83)+(Data!$C$83*(1-Data!$E$83)))*(1+(Data!I$63*Data!$E$83)+(Data!$C$83*(1-Data!$E$83)))*Data!H$34</f>
        <v>22.850056147964924</v>
      </c>
      <c r="J85" s="613">
        <f>+H12*(1+(Data!I$63*Data!$E$83)+(Data!$C$83*(1-Data!$E$83)))*(1+(Data!J$63*Data!$E$83)+(Data!$C$83*(1-Data!$E$83)))*Data!I$34</f>
        <v>23.21542555154717</v>
      </c>
      <c r="K85" s="613">
        <f>+I12*(1+(Data!J$63*Data!$E$83)+(Data!$C$83*(1-Data!$E$83)))*(1+(Data!K$63*Data!$E$83)+(Data!$C$83*(1-Data!$E$83)))*Data!J$34</f>
        <v>23.691812611215187</v>
      </c>
    </row>
    <row r="86" spans="1:12" s="2" customFormat="1">
      <c r="A86" s="3"/>
      <c r="B86" s="127"/>
      <c r="C86" s="134"/>
      <c r="D86" s="134"/>
      <c r="E86" s="134"/>
      <c r="F86" s="134"/>
      <c r="G86" s="134"/>
      <c r="H86" s="134"/>
      <c r="I86" s="134"/>
      <c r="J86" s="134"/>
      <c r="K86" s="134"/>
      <c r="L86" s="134"/>
    </row>
    <row r="87" spans="1:12" s="2" customFormat="1">
      <c r="A87" s="3"/>
      <c r="B87" s="127"/>
      <c r="C87" s="537" t="s">
        <v>398</v>
      </c>
      <c r="D87" s="540" t="str">
        <f t="shared" ref="D87:K87" si="29">IF($C58=$B$33,D$6,IF(D$6-RIGHT($C58,1)&lt;$D$6,"Pre-RIIO",D$6-RIGHT($C58,1)))</f>
        <v>Pre-RIIO</v>
      </c>
      <c r="E87" s="541" t="str">
        <f t="shared" si="29"/>
        <v>Pre-RIIO</v>
      </c>
      <c r="F87" s="541" t="str">
        <f t="shared" si="29"/>
        <v>Pre-RIIO</v>
      </c>
      <c r="G87" s="541">
        <f t="shared" si="29"/>
        <v>2016</v>
      </c>
      <c r="H87" s="541">
        <f t="shared" si="29"/>
        <v>2017</v>
      </c>
      <c r="I87" s="541">
        <f t="shared" si="29"/>
        <v>2018</v>
      </c>
      <c r="J87" s="541">
        <f t="shared" si="29"/>
        <v>2019</v>
      </c>
      <c r="K87" s="542">
        <f t="shared" si="29"/>
        <v>2020</v>
      </c>
    </row>
    <row r="88" spans="1:12" s="2" customFormat="1">
      <c r="A88" s="3" t="str">
        <f>A13</f>
        <v>c</v>
      </c>
      <c r="B88" s="127" t="str">
        <f>B13&amp;""</f>
        <v>Incentive on connections engagement</v>
      </c>
      <c r="C88" s="134" t="s">
        <v>128</v>
      </c>
      <c r="D88" s="634">
        <v>0</v>
      </c>
      <c r="E88" s="635">
        <v>0</v>
      </c>
      <c r="F88" s="635">
        <v>0</v>
      </c>
      <c r="G88" s="635">
        <v>0</v>
      </c>
      <c r="H88" s="613">
        <f>+E13*Data!D$34</f>
        <v>0</v>
      </c>
      <c r="I88" s="613">
        <f>+F13*Data!E$34</f>
        <v>0</v>
      </c>
      <c r="J88" s="613">
        <f>+G13*Data!F$34</f>
        <v>0</v>
      </c>
      <c r="K88" s="613">
        <f>+H13*Data!G$34</f>
        <v>0</v>
      </c>
    </row>
    <row r="89" spans="1:12" s="2" customFormat="1">
      <c r="A89" s="3"/>
      <c r="B89" s="127"/>
      <c r="C89" s="134"/>
      <c r="D89" s="134"/>
      <c r="E89" s="134"/>
      <c r="F89" s="134"/>
      <c r="G89" s="134"/>
      <c r="H89" s="134"/>
      <c r="I89" s="134"/>
      <c r="J89" s="134"/>
      <c r="K89" s="134"/>
      <c r="L89" s="134"/>
    </row>
    <row r="90" spans="1:12" s="2" customFormat="1">
      <c r="A90" s="3"/>
      <c r="B90" s="127"/>
      <c r="C90" s="537" t="s">
        <v>398</v>
      </c>
      <c r="D90" s="540" t="str">
        <f t="shared" ref="D90:K90" si="30">IF($C62=$B$33,D$6,IF(D$6-RIGHT($C62,1)&lt;$D$6,"Pre-RIIO",D$6-RIGHT($C62,1)))</f>
        <v>Pre-RIIO</v>
      </c>
      <c r="E90" s="541" t="str">
        <f t="shared" si="30"/>
        <v>Pre-RIIO</v>
      </c>
      <c r="F90" s="541">
        <f t="shared" si="30"/>
        <v>2016</v>
      </c>
      <c r="G90" s="541">
        <f t="shared" si="30"/>
        <v>2017</v>
      </c>
      <c r="H90" s="541">
        <f t="shared" si="30"/>
        <v>2018</v>
      </c>
      <c r="I90" s="541">
        <f t="shared" si="30"/>
        <v>2019</v>
      </c>
      <c r="J90" s="541">
        <f t="shared" si="30"/>
        <v>2020</v>
      </c>
      <c r="K90" s="542">
        <f t="shared" si="30"/>
        <v>2021</v>
      </c>
    </row>
    <row r="91" spans="1:12" s="2" customFormat="1">
      <c r="A91" s="3" t="str">
        <f>A14</f>
        <v>d</v>
      </c>
      <c r="B91" s="127" t="str">
        <f>B14&amp;""</f>
        <v>Time to Connect Incentive</v>
      </c>
      <c r="C91" s="134" t="s">
        <v>128</v>
      </c>
      <c r="D91" s="634">
        <v>0</v>
      </c>
      <c r="E91" s="635">
        <v>0</v>
      </c>
      <c r="F91" s="635">
        <v>1.4286707845100646</v>
      </c>
      <c r="G91" s="635">
        <v>1.2476160000000001</v>
      </c>
      <c r="H91" s="613">
        <f>+F14*Data!E$34</f>
        <v>1.766916606927557</v>
      </c>
      <c r="I91" s="613">
        <f>+G14*Data!F$34</f>
        <v>1.8526322672933482</v>
      </c>
      <c r="J91" s="613">
        <f>+H14*Data!G$34</f>
        <v>1.8164633419724781</v>
      </c>
      <c r="K91" s="613">
        <f>+I14*Data!H$34</f>
        <v>1.6218457909500332</v>
      </c>
    </row>
    <row r="92" spans="1:12" s="2" customFormat="1">
      <c r="A92" s="3"/>
      <c r="B92" s="127"/>
      <c r="C92" s="134"/>
      <c r="D92" s="134"/>
      <c r="E92" s="134"/>
      <c r="F92" s="134"/>
      <c r="G92" s="134"/>
      <c r="H92" s="134"/>
      <c r="I92" s="134"/>
      <c r="J92" s="134"/>
      <c r="K92" s="134"/>
      <c r="L92" s="134"/>
    </row>
    <row r="93" spans="1:12" s="2" customFormat="1">
      <c r="A93" s="3"/>
      <c r="B93" s="127"/>
      <c r="C93" s="537" t="s">
        <v>398</v>
      </c>
      <c r="D93" s="540" t="str">
        <f>IF($C66=$B$33,D$6,IF(D$6-RIGHT($C66,1)&lt;$D$6,"Pre-RIIO",D$6-RIGHT($C66,1)))</f>
        <v>Pre-RIIO</v>
      </c>
      <c r="E93" s="541">
        <f t="shared" ref="E93:K93" si="31">IF($C66=$B$33,E$6,IF(E$6-RIGHT($C66,1)&lt;$D$6,"Pre-RIIO",E$6-RIGHT($C66,1)))</f>
        <v>2016</v>
      </c>
      <c r="F93" s="541">
        <f t="shared" si="31"/>
        <v>2017</v>
      </c>
      <c r="G93" s="541">
        <f t="shared" si="31"/>
        <v>2018</v>
      </c>
      <c r="H93" s="541">
        <f t="shared" si="31"/>
        <v>2019</v>
      </c>
      <c r="I93" s="541">
        <f t="shared" si="31"/>
        <v>2020</v>
      </c>
      <c r="J93" s="541">
        <f t="shared" si="31"/>
        <v>2021</v>
      </c>
      <c r="K93" s="542">
        <f t="shared" si="31"/>
        <v>2022</v>
      </c>
    </row>
    <row r="94" spans="1:12" s="2" customFormat="1">
      <c r="A94" s="3" t="str">
        <f>A15</f>
        <v>e</v>
      </c>
      <c r="B94" s="127" t="str">
        <f>B15&amp;""</f>
        <v>Losses discretionary reward scheme</v>
      </c>
      <c r="C94" s="134" t="s">
        <v>128</v>
      </c>
      <c r="D94" s="634">
        <v>0</v>
      </c>
      <c r="E94" s="635">
        <v>0</v>
      </c>
      <c r="F94" s="635">
        <v>4.4839999999999998E-2</v>
      </c>
      <c r="G94" s="635">
        <v>0</v>
      </c>
      <c r="H94" s="613">
        <v>0</v>
      </c>
      <c r="I94" s="613">
        <f>+H15*Data!G$34</f>
        <v>0</v>
      </c>
      <c r="J94" s="613">
        <f>+I15*Data!H$34</f>
        <v>0</v>
      </c>
      <c r="K94" s="613">
        <f>+J15*Data!I$34</f>
        <v>0</v>
      </c>
    </row>
    <row r="95" spans="1:12" s="2" customFormat="1">
      <c r="A95" s="3"/>
      <c r="B95" s="127"/>
      <c r="C95" s="134"/>
      <c r="D95" s="134"/>
      <c r="E95" s="134"/>
      <c r="F95" s="134"/>
      <c r="G95" s="134"/>
      <c r="H95" s="134"/>
      <c r="I95" s="134"/>
      <c r="J95" s="134"/>
      <c r="K95" s="134"/>
      <c r="L95" s="134"/>
    </row>
    <row r="96" spans="1:12" s="2" customFormat="1">
      <c r="A96" s="3"/>
      <c r="B96" s="127"/>
      <c r="C96" s="537" t="s">
        <v>398</v>
      </c>
      <c r="D96" s="540" t="str">
        <f>IF($C70=$B$33,D$6,IF(D$6-RIGHT($C70,1)&lt;$D$6,"Pre-RIIO",D$6-RIGHT($C70,1)))</f>
        <v>Pre-RIIO</v>
      </c>
      <c r="E96" s="540">
        <f t="shared" ref="E96:K96" si="32">IF($C70=$B$33,E$6,IF(E$6-RIGHT($C70,1)&lt;$D$6,"Pre-RIIO",E$6-RIGHT($C70,1)))</f>
        <v>2016</v>
      </c>
      <c r="F96" s="540">
        <f t="shared" si="32"/>
        <v>2017</v>
      </c>
      <c r="G96" s="540">
        <f t="shared" si="32"/>
        <v>2018</v>
      </c>
      <c r="H96" s="540">
        <f t="shared" si="32"/>
        <v>2019</v>
      </c>
      <c r="I96" s="540">
        <f t="shared" si="32"/>
        <v>2020</v>
      </c>
      <c r="J96" s="540">
        <f t="shared" si="32"/>
        <v>2021</v>
      </c>
      <c r="K96" s="540">
        <f t="shared" si="32"/>
        <v>2022</v>
      </c>
    </row>
    <row r="97" spans="1:13" s="2" customFormat="1">
      <c r="A97" s="3" t="str">
        <f>A16</f>
        <v>f</v>
      </c>
      <c r="B97" s="127" t="str">
        <f>B16&amp;""</f>
        <v/>
      </c>
      <c r="C97" s="134" t="s">
        <v>128</v>
      </c>
      <c r="D97" s="634"/>
      <c r="E97" s="635"/>
      <c r="F97" s="635"/>
      <c r="G97" s="635"/>
      <c r="H97" s="613"/>
      <c r="I97" s="613"/>
      <c r="J97" s="613"/>
      <c r="K97" s="613"/>
    </row>
    <row r="98" spans="1:13" s="2" customFormat="1">
      <c r="A98" s="3"/>
      <c r="B98" s="127"/>
      <c r="C98" s="134"/>
      <c r="D98" s="134"/>
      <c r="E98" s="134"/>
      <c r="F98" s="134"/>
      <c r="G98" s="134"/>
      <c r="H98" s="134"/>
      <c r="I98" s="134"/>
      <c r="J98" s="134"/>
      <c r="K98" s="134"/>
      <c r="L98" s="134"/>
    </row>
    <row r="99" spans="1:13" s="2" customFormat="1">
      <c r="A99" s="3"/>
      <c r="B99" s="127"/>
      <c r="C99" s="537" t="s">
        <v>398</v>
      </c>
      <c r="D99" s="540" t="str">
        <f>IF($C74=$B$33,D$6,IF(D$6-RIGHT($C74,1)&lt;$D$6,"Pre-RIIO",D$6-RIGHT($C74,1)))</f>
        <v>Pre-RIIO</v>
      </c>
      <c r="E99" s="540">
        <f t="shared" ref="E99:K99" si="33">IF($C74=$B$33,E$6,IF(E$6-RIGHT($C74,1)&lt;$D$6,"Pre-RIIO",E$6-RIGHT($C74,1)))</f>
        <v>2016</v>
      </c>
      <c r="F99" s="540">
        <f t="shared" si="33"/>
        <v>2017</v>
      </c>
      <c r="G99" s="540">
        <f t="shared" si="33"/>
        <v>2018</v>
      </c>
      <c r="H99" s="540">
        <f t="shared" si="33"/>
        <v>2019</v>
      </c>
      <c r="I99" s="540">
        <f t="shared" si="33"/>
        <v>2020</v>
      </c>
      <c r="J99" s="540">
        <f t="shared" si="33"/>
        <v>2021</v>
      </c>
      <c r="K99" s="540">
        <f t="shared" si="33"/>
        <v>2022</v>
      </c>
    </row>
    <row r="100" spans="1:13" s="2" customFormat="1">
      <c r="A100" s="3" t="str">
        <f>A17</f>
        <v>g</v>
      </c>
      <c r="B100" s="127" t="str">
        <f>B17&amp;""</f>
        <v/>
      </c>
      <c r="C100" s="134" t="s">
        <v>128</v>
      </c>
      <c r="D100" s="634"/>
      <c r="E100" s="635"/>
      <c r="F100" s="635"/>
      <c r="G100" s="635"/>
      <c r="H100" s="613"/>
      <c r="I100" s="613"/>
      <c r="J100" s="613"/>
      <c r="K100" s="613"/>
    </row>
    <row r="101" spans="1:13" s="2" customFormat="1">
      <c r="A101" s="3"/>
      <c r="B101" s="127"/>
      <c r="C101" s="134"/>
      <c r="D101" s="134"/>
      <c r="E101" s="134"/>
      <c r="F101" s="134"/>
      <c r="G101" s="134"/>
      <c r="H101" s="134"/>
      <c r="I101" s="134"/>
      <c r="J101" s="134"/>
      <c r="K101" s="134"/>
      <c r="L101" s="134"/>
      <c r="M101" s="134"/>
    </row>
    <row r="102" spans="1:13" s="2" customFormat="1">
      <c r="B102" s="12" t="s">
        <v>158</v>
      </c>
      <c r="C102" s="155" t="s">
        <v>128</v>
      </c>
      <c r="D102" s="606">
        <f>SUM(D82,D85,D88,D91,D94,D97,D100)</f>
        <v>35.240511790305</v>
      </c>
      <c r="E102" s="606">
        <f t="shared" ref="E102:K102" si="34">SUM(E82,E85,E88,E91,E94,E97,E100)</f>
        <v>38.803661972177039</v>
      </c>
      <c r="F102" s="606">
        <f t="shared" si="34"/>
        <v>28.486792372990937</v>
      </c>
      <c r="G102" s="606">
        <f t="shared" si="34"/>
        <v>28.90583323300503</v>
      </c>
      <c r="H102" s="607">
        <f>SUM(H82,H85,H88,H91,H94,H97,H100)</f>
        <v>30.570357269322244</v>
      </c>
      <c r="I102" s="607">
        <f t="shared" si="34"/>
        <v>31.274611909689664</v>
      </c>
      <c r="J102" s="607">
        <f t="shared" si="34"/>
        <v>31.941330533790758</v>
      </c>
      <c r="K102" s="607">
        <f t="shared" si="34"/>
        <v>32.204552745132418</v>
      </c>
    </row>
    <row r="103" spans="1:13" s="2" customFormat="1">
      <c r="C103" s="134"/>
    </row>
    <row r="104" spans="1:13" s="2" customFormat="1">
      <c r="A104" s="35"/>
      <c r="B104" s="12" t="s">
        <v>373</v>
      </c>
      <c r="C104" s="154"/>
      <c r="D104" s="154"/>
      <c r="E104" s="154"/>
      <c r="F104" s="154"/>
      <c r="G104" s="154"/>
      <c r="H104" s="154"/>
      <c r="I104" s="154"/>
      <c r="J104" s="154"/>
      <c r="K104" s="154"/>
      <c r="L104" s="154"/>
      <c r="M104" s="154"/>
    </row>
    <row r="105" spans="1:13" s="2" customFormat="1">
      <c r="A105" s="267" t="str">
        <f>A82</f>
        <v>a</v>
      </c>
      <c r="B105" s="1008" t="str">
        <f>+B21</f>
        <v>The 2019/20 SECV incentive reward is still to be assessed by Ofgem and therefore the 2020 Actuals has been forecast on the prior 3 year average.</v>
      </c>
      <c r="C105" s="1008"/>
      <c r="D105" s="1008"/>
      <c r="E105" s="1008"/>
      <c r="F105" s="1008"/>
      <c r="G105" s="1008"/>
      <c r="H105" s="1008"/>
      <c r="I105" s="1008"/>
      <c r="J105" s="1008"/>
      <c r="K105" s="1008"/>
      <c r="L105" s="1008"/>
      <c r="M105" s="1008"/>
    </row>
    <row r="106" spans="1:13" s="2" customFormat="1">
      <c r="A106" s="267" t="str">
        <f>A85</f>
        <v>b</v>
      </c>
      <c r="B106" s="1008"/>
      <c r="C106" s="1008"/>
      <c r="D106" s="1008"/>
      <c r="E106" s="1008"/>
      <c r="F106" s="1008"/>
      <c r="G106" s="1008"/>
      <c r="H106" s="1008"/>
      <c r="I106" s="1008"/>
      <c r="J106" s="1008"/>
      <c r="K106" s="1008"/>
      <c r="L106" s="1008"/>
      <c r="M106" s="1008"/>
    </row>
    <row r="107" spans="1:13" s="2" customFormat="1">
      <c r="A107" s="267" t="str">
        <f>A88</f>
        <v>c</v>
      </c>
      <c r="B107" s="1008"/>
      <c r="C107" s="1008"/>
      <c r="D107" s="1008"/>
      <c r="E107" s="1008"/>
      <c r="F107" s="1008"/>
      <c r="G107" s="1008"/>
      <c r="H107" s="1008"/>
      <c r="I107" s="1008"/>
      <c r="J107" s="1008"/>
      <c r="K107" s="1008"/>
      <c r="L107" s="1008"/>
      <c r="M107" s="1008"/>
    </row>
    <row r="108" spans="1:13" s="2" customFormat="1">
      <c r="A108" s="267" t="str">
        <f>A91</f>
        <v>d</v>
      </c>
      <c r="B108" s="1008"/>
      <c r="C108" s="1008"/>
      <c r="D108" s="1008"/>
      <c r="E108" s="1008"/>
      <c r="F108" s="1008"/>
      <c r="G108" s="1008"/>
      <c r="H108" s="1008"/>
      <c r="I108" s="1008"/>
      <c r="J108" s="1008"/>
      <c r="K108" s="1008"/>
      <c r="L108" s="1008"/>
      <c r="M108" s="1008"/>
    </row>
    <row r="109" spans="1:13" s="2" customFormat="1">
      <c r="A109" s="267" t="str">
        <f>A94</f>
        <v>e</v>
      </c>
      <c r="B109" s="1008"/>
      <c r="C109" s="1008"/>
      <c r="D109" s="1008"/>
      <c r="E109" s="1008"/>
      <c r="F109" s="1008"/>
      <c r="G109" s="1008"/>
      <c r="H109" s="1008"/>
      <c r="I109" s="1008"/>
      <c r="J109" s="1008"/>
      <c r="K109" s="1008"/>
      <c r="L109" s="1008"/>
      <c r="M109" s="1008"/>
    </row>
    <row r="110" spans="1:13" s="2" customFormat="1">
      <c r="A110" s="267" t="str">
        <f>A97</f>
        <v>f</v>
      </c>
      <c r="B110" s="1008"/>
      <c r="C110" s="1008"/>
      <c r="D110" s="1008"/>
      <c r="E110" s="1008"/>
      <c r="F110" s="1008"/>
      <c r="G110" s="1008"/>
      <c r="H110" s="1008"/>
      <c r="I110" s="1008"/>
      <c r="J110" s="1008"/>
      <c r="K110" s="1008"/>
      <c r="L110" s="1008"/>
      <c r="M110" s="1008"/>
    </row>
    <row r="111" spans="1:13" s="2" customFormat="1">
      <c r="A111" s="267" t="str">
        <f>A100</f>
        <v>g</v>
      </c>
      <c r="B111" s="1008"/>
      <c r="C111" s="1008"/>
      <c r="D111" s="1008"/>
      <c r="E111" s="1008"/>
      <c r="F111" s="1008"/>
      <c r="G111" s="1008"/>
      <c r="H111" s="1008"/>
      <c r="I111" s="1008"/>
      <c r="J111" s="1008"/>
      <c r="K111" s="1008"/>
      <c r="L111" s="1008"/>
      <c r="M111" s="1008"/>
    </row>
    <row r="112" spans="1:13" s="529" customFormat="1">
      <c r="A112" s="528"/>
      <c r="C112" s="530"/>
      <c r="D112" s="531"/>
      <c r="E112" s="531"/>
      <c r="F112" s="531"/>
      <c r="G112" s="531"/>
      <c r="H112" s="531"/>
      <c r="I112" s="531"/>
      <c r="J112" s="531"/>
      <c r="K112" s="531"/>
      <c r="L112" s="532"/>
      <c r="M112" s="532"/>
    </row>
    <row r="113" spans="1:14" s="529" customFormat="1">
      <c r="A113" s="528"/>
      <c r="C113" s="530"/>
      <c r="D113" s="530"/>
      <c r="E113" s="530"/>
      <c r="F113" s="530"/>
      <c r="G113" s="530"/>
      <c r="H113" s="530"/>
      <c r="I113" s="530"/>
      <c r="J113" s="530"/>
      <c r="K113" s="530"/>
      <c r="L113" s="530"/>
      <c r="M113" s="530"/>
    </row>
    <row r="114" spans="1:14" s="2" customFormat="1">
      <c r="A114" s="81"/>
      <c r="B114" s="81"/>
      <c r="C114" s="148"/>
      <c r="D114" s="81"/>
      <c r="E114" s="81"/>
      <c r="F114" s="81"/>
      <c r="G114" s="81"/>
      <c r="H114" s="81"/>
      <c r="I114" s="81"/>
      <c r="J114" s="81"/>
      <c r="K114" s="81"/>
      <c r="L114" s="81"/>
      <c r="M114" s="81"/>
      <c r="N114" s="81"/>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44" priority="31">
      <formula>AND(D$5="Actuals",E$5="Forecast")</formula>
    </cfRule>
  </conditionalFormatting>
  <conditionalFormatting sqref="D5:K5">
    <cfRule type="expression" dxfId="43"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2.xml><?xml version="1.0" encoding="utf-8"?>
<?mso-contentType ?>
<SharedContentType xmlns="Microsoft.SharePoint.Taxonomy.ContentTypeSync" SourceId="ca9306fc-8436-45f0-b931-e34f519be3a3" ContentTypeId="0x010100BEF857C979C03448B587B28C0D359605"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Applicable_x0020_Duration>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5.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302359-0A5A-443C-AC8D-7BDD5B842A3E}">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FDAA1E34-FF0B-44F6-BCB0-892CEABC3557}">
  <ds:schemaRefs>
    <ds:schemaRef ds:uri="Microsoft.SharePoint.Taxonomy.ContentTypeSync"/>
  </ds:schemaRefs>
</ds:datastoreItem>
</file>

<file path=customXml/itemProps3.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4.xml><?xml version="1.0" encoding="utf-8"?>
<ds:datastoreItem xmlns:ds="http://schemas.openxmlformats.org/officeDocument/2006/customXml" ds:itemID="{CC285FE4-1466-4BF7-8FA9-67F63A3D57B8}">
  <ds:schemaRefs>
    <ds:schemaRef ds:uri="http://purl.org/dc/elements/1.1/"/>
    <ds:schemaRef ds:uri="http://schemas.microsoft.com/office/2006/documentManagement/types"/>
    <ds:schemaRef ds:uri="http://purl.org/dc/terms/"/>
    <ds:schemaRef ds:uri="631298fc-6a88-4548-b7d9-3b164918c4a3"/>
    <ds:schemaRef ds:uri="http://purl.org/dc/dcmitype/"/>
    <ds:schemaRef ds:uri="http://schemas.openxmlformats.org/package/2006/metadata/core-properties"/>
    <ds:schemaRef ds:uri="http://schemas.microsoft.com/office/infopath/2007/PartnerControls"/>
    <ds:schemaRef ds:uri="http://schemas.microsoft.com/sharepoint/v3/fields"/>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Mick Watson</dc:creator>
  <cp:lastModifiedBy>Bartlam, Katherine</cp:lastModifiedBy>
  <cp:lastPrinted>2018-10-02T10:25:02Z</cp:lastPrinted>
  <dcterms:created xsi:type="dcterms:W3CDTF">2018-06-13T08:32:09Z</dcterms:created>
  <dcterms:modified xsi:type="dcterms:W3CDTF">2020-10-13T10:02:06Z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_AdHocReviewCycleID">
    <vt:i4>913554583</vt:i4>
  </property>
  <property fmtid="{D5CDD505-2E9C-101B-9397-08002B2CF9AE}" pid="6" name="_EmailSubject">
    <vt:lpwstr>Draft RFPR Template and Guidance [OFFICIAL ]</vt:lpwstr>
  </property>
  <property fmtid="{D5CDD505-2E9C-101B-9397-08002B2CF9AE}" pid="7" name="_AuthorEmail">
    <vt:lpwstr>agaw@spenergynetworks.co.uk</vt:lpwstr>
  </property>
  <property fmtid="{D5CDD505-2E9C-101B-9397-08002B2CF9AE}" pid="8" name="_AuthorEmailDisplayName">
    <vt:lpwstr>Gaw, Alasdair</vt:lpwstr>
  </property>
  <property fmtid="{D5CDD505-2E9C-101B-9397-08002B2CF9AE}" pid="9" name="_ReviewingToolsShownOnc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y fmtid="{D5CDD505-2E9C-101B-9397-08002B2CF9AE}" pid="21" name="SV_QUERY_LIST_4F35BF76-6C0D-4D9B-82B2-816C12CF3733">
    <vt:lpwstr>empty_477D106A-C0D6-4607-AEBD-E2C9D60EA279</vt:lpwstr>
  </property>
  <property fmtid="{D5CDD505-2E9C-101B-9397-08002B2CF9AE}" pid="22" name="SV_HIDDEN_GRID_QUERY_LIST_4F35BF76-6C0D-4D9B-82B2-816C12CF3733">
    <vt:lpwstr>empty_477D106A-C0D6-4607-AEBD-E2C9D60EA279</vt:lpwstr>
  </property>
</Properties>
</file>